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Press Releases\2019\2Q2019\"/>
    </mc:Choice>
  </mc:AlternateContent>
  <bookViews>
    <workbookView xWindow="240" yWindow="405" windowWidth="18960" windowHeight="7380" tabRatio="732"/>
  </bookViews>
  <sheets>
    <sheet name="Consolidated Income Statement" sheetId="1" r:id="rId1"/>
    <sheet name="Consolidated Balance Sheet AxI" sheetId="6" r:id="rId2"/>
    <sheet name="Cash Flow Statement AxI" sheetId="7" r:id="rId3"/>
    <sheet name="Segment  EBITDA" sheetId="4" r:id="rId4"/>
    <sheet name="Segment  Sales" sheetId="5" r:id="rId5"/>
  </sheets>
  <definedNames>
    <definedName name="_xlnm.Print_Area" localSheetId="2">'Cash Flow Statement AxI'!$A$1:$AI$52</definedName>
    <definedName name="_xlnm.Print_Area" localSheetId="1">'Consolidated Balance Sheet AxI'!$A$1:$AH$44</definedName>
    <definedName name="_xlnm.Print_Area" localSheetId="0">'Consolidated Income Statement'!$A$1:$AM$60</definedName>
    <definedName name="_xlnm.Print_Area" localSheetId="3">'Segment  EBITDA'!$A$1:$AQ$61</definedName>
    <definedName name="OLE_LINK7" localSheetId="0">'Consolidated Income Statement'!$B$8</definedName>
  </definedNames>
  <calcPr calcId="162913"/>
</workbook>
</file>

<file path=xl/calcChain.xml><?xml version="1.0" encoding="utf-8"?>
<calcChain xmlns="http://schemas.openxmlformats.org/spreadsheetml/2006/main">
  <c r="J16" i="1" l="1"/>
  <c r="J28" i="1"/>
  <c r="J43" i="1"/>
  <c r="J20" i="1" l="1"/>
  <c r="J27" i="1" s="1"/>
  <c r="J32" i="1" s="1"/>
  <c r="J37" i="1" s="1"/>
  <c r="F28" i="1" l="1"/>
  <c r="F27" i="1"/>
  <c r="F32" i="1" s="1"/>
  <c r="G28" i="1"/>
  <c r="F43" i="1"/>
  <c r="G43" i="1"/>
  <c r="G27" i="1" l="1"/>
  <c r="F37" i="1"/>
  <c r="G32" i="1" l="1"/>
  <c r="G37" i="1" l="1"/>
  <c r="C20" i="5" l="1"/>
  <c r="C10" i="5"/>
  <c r="C27" i="5"/>
  <c r="C16" i="5"/>
  <c r="C23" i="5"/>
  <c r="C32" i="5" l="1"/>
  <c r="C19" i="5"/>
  <c r="C34" i="5"/>
  <c r="C40" i="5" s="1"/>
  <c r="C21" i="5"/>
  <c r="C18" i="5"/>
  <c r="D35" i="4" l="1"/>
  <c r="D39" i="4" s="1"/>
  <c r="D26" i="4"/>
  <c r="D42" i="4"/>
  <c r="D50" i="4" s="1"/>
  <c r="D32" i="7"/>
  <c r="D30" i="7"/>
  <c r="D29" i="7"/>
  <c r="D28" i="7"/>
  <c r="D27" i="7"/>
  <c r="D26" i="7"/>
  <c r="I52" i="4" l="1"/>
  <c r="D52" i="4"/>
  <c r="D47" i="4"/>
  <c r="D59" i="4" l="1"/>
  <c r="D54" i="4" l="1"/>
  <c r="D53" i="4" l="1"/>
  <c r="D55" i="4" l="1"/>
  <c r="D57" i="4" s="1"/>
  <c r="D61" i="4" s="1"/>
  <c r="D18" i="4"/>
  <c r="D22" i="4" s="1"/>
  <c r="G51" i="1" l="1"/>
  <c r="D51" i="1" l="1"/>
  <c r="D28" i="1" l="1"/>
  <c r="H43" i="1"/>
  <c r="D16" i="1"/>
  <c r="D43" i="1"/>
  <c r="D49" i="1"/>
  <c r="D20" i="1" l="1"/>
  <c r="I27" i="1"/>
  <c r="H27" i="1"/>
  <c r="D23" i="5"/>
  <c r="D27" i="5"/>
  <c r="D16" i="5"/>
  <c r="D18" i="5"/>
  <c r="AI27" i="5"/>
  <c r="AI16" i="5"/>
  <c r="E26" i="4"/>
  <c r="E42" i="4"/>
  <c r="E50" i="4" s="1"/>
  <c r="H32" i="1" l="1"/>
  <c r="D27" i="1"/>
  <c r="D32" i="1"/>
  <c r="D20" i="5"/>
  <c r="D10" i="5"/>
  <c r="D19" i="5"/>
  <c r="D32" i="5"/>
  <c r="D34" i="5" s="1"/>
  <c r="D40" i="5" s="1"/>
  <c r="E54" i="4"/>
  <c r="E53" i="4"/>
  <c r="E55" i="4"/>
  <c r="E47" i="4"/>
  <c r="E59" i="4"/>
  <c r="E35" i="4"/>
  <c r="E39" i="4" s="1"/>
  <c r="E52" i="4"/>
  <c r="E18" i="4"/>
  <c r="E22" i="4" s="1"/>
  <c r="D37" i="1" l="1"/>
  <c r="D21" i="5"/>
  <c r="E57" i="4"/>
  <c r="E61" i="4" s="1"/>
  <c r="D22" i="7" l="1"/>
  <c r="D50" i="7" l="1"/>
  <c r="D39" i="7"/>
  <c r="D52" i="7" l="1"/>
  <c r="D18" i="6" l="1"/>
  <c r="D36" i="6"/>
  <c r="E28" i="1"/>
  <c r="E16" i="1"/>
  <c r="E51" i="1"/>
  <c r="E49" i="1" l="1"/>
  <c r="E20" i="1"/>
  <c r="D28" i="6"/>
  <c r="D34" i="6"/>
  <c r="E43" i="1"/>
  <c r="D37" i="6"/>
  <c r="D15" i="6"/>
  <c r="D12" i="6"/>
  <c r="E27" i="1" l="1"/>
  <c r="AI20" i="5"/>
  <c r="I32" i="1"/>
  <c r="AI32" i="5"/>
  <c r="AI23" i="5"/>
  <c r="AI19" i="5"/>
  <c r="AI10" i="5"/>
  <c r="AI18" i="5"/>
  <c r="AI34" i="5" l="1"/>
  <c r="AI21" i="5"/>
  <c r="E32" i="1"/>
  <c r="AI40" i="5" l="1"/>
  <c r="E37" i="1"/>
  <c r="F54" i="4"/>
  <c r="H18" i="4" l="1"/>
  <c r="H22" i="4" s="1"/>
  <c r="I18" i="4"/>
  <c r="I22" i="4" s="1"/>
  <c r="F55" i="4"/>
  <c r="G18" i="4"/>
  <c r="G22" i="4" s="1"/>
  <c r="F47" i="4" l="1"/>
  <c r="F42" i="4"/>
  <c r="F50" i="4" s="1"/>
  <c r="F35" i="4"/>
  <c r="F39" i="4" s="1"/>
  <c r="F26" i="4"/>
  <c r="F59" i="4"/>
  <c r="F53" i="4"/>
  <c r="F52" i="4"/>
  <c r="E20" i="5"/>
  <c r="E10" i="5"/>
  <c r="E23" i="5"/>
  <c r="E32" i="5"/>
  <c r="E27" i="5"/>
  <c r="E19" i="5"/>
  <c r="E18" i="5"/>
  <c r="E16" i="5"/>
  <c r="F57" i="4" l="1"/>
  <c r="F61" i="4" s="1"/>
  <c r="F18" i="4"/>
  <c r="F22" i="4" s="1"/>
  <c r="E21" i="5"/>
  <c r="E34" i="5"/>
  <c r="E40" i="5" l="1"/>
  <c r="E50" i="7" l="1"/>
  <c r="E39" i="7"/>
  <c r="E19" i="7"/>
  <c r="E18" i="7"/>
  <c r="E22" i="7" l="1"/>
  <c r="E52" i="7" l="1"/>
  <c r="G49" i="1"/>
  <c r="F51" i="1"/>
  <c r="G35" i="7"/>
  <c r="G27" i="7"/>
  <c r="G26" i="7"/>
  <c r="I39" i="6"/>
  <c r="F39" i="6"/>
  <c r="J39" i="6" s="1"/>
  <c r="E36" i="6"/>
  <c r="E15" i="6"/>
  <c r="E12" i="6"/>
  <c r="J11" i="6" l="1"/>
  <c r="G15" i="6"/>
  <c r="J14" i="6"/>
  <c r="J26" i="6"/>
  <c r="I18" i="6"/>
  <c r="J16" i="6"/>
  <c r="G34" i="6"/>
  <c r="J32" i="6"/>
  <c r="J33" i="6"/>
  <c r="J25" i="6"/>
  <c r="I28" i="6"/>
  <c r="J27" i="6"/>
  <c r="J20" i="6"/>
  <c r="H18" i="6"/>
  <c r="J21" i="6"/>
  <c r="J30" i="6"/>
  <c r="G36" i="6"/>
  <c r="H39" i="7"/>
  <c r="G22" i="7"/>
  <c r="I39" i="7"/>
  <c r="H15" i="6"/>
  <c r="I15" i="6"/>
  <c r="I36" i="6"/>
  <c r="F36" i="6"/>
  <c r="H34" i="6"/>
  <c r="F49" i="1"/>
  <c r="L39" i="7"/>
  <c r="P39" i="7"/>
  <c r="F39" i="7"/>
  <c r="J39" i="7"/>
  <c r="N39" i="7"/>
  <c r="R39" i="7"/>
  <c r="V39" i="7"/>
  <c r="Z39" i="7"/>
  <c r="AD39" i="7"/>
  <c r="AH39" i="7"/>
  <c r="F50" i="7"/>
  <c r="J50" i="7"/>
  <c r="N50" i="7"/>
  <c r="R50" i="7"/>
  <c r="V50" i="7"/>
  <c r="Z50" i="7"/>
  <c r="AD50" i="7"/>
  <c r="AH50" i="7"/>
  <c r="T39" i="7"/>
  <c r="X39" i="7"/>
  <c r="AB39" i="7"/>
  <c r="AF39" i="7"/>
  <c r="H50" i="7"/>
  <c r="L50" i="7"/>
  <c r="P50" i="7"/>
  <c r="T50" i="7"/>
  <c r="X50" i="7"/>
  <c r="AB50" i="7"/>
  <c r="AF50" i="7"/>
  <c r="I22" i="7"/>
  <c r="F12" i="6"/>
  <c r="F15" i="6"/>
  <c r="H28" i="6"/>
  <c r="G12" i="6"/>
  <c r="G37" i="6"/>
  <c r="F22" i="7"/>
  <c r="J22" i="7"/>
  <c r="G39" i="7"/>
  <c r="K39" i="7"/>
  <c r="O39" i="7"/>
  <c r="S39" i="7"/>
  <c r="W39" i="7"/>
  <c r="AA39" i="7"/>
  <c r="AE39" i="7"/>
  <c r="AI39" i="7"/>
  <c r="G50" i="7"/>
  <c r="K50" i="7"/>
  <c r="O50" i="7"/>
  <c r="S50" i="7"/>
  <c r="W50" i="7"/>
  <c r="AA50" i="7"/>
  <c r="AE50" i="7"/>
  <c r="AI50" i="7"/>
  <c r="H22" i="7"/>
  <c r="M39" i="7"/>
  <c r="Q39" i="7"/>
  <c r="U39" i="7"/>
  <c r="Y39" i="7"/>
  <c r="AC39" i="7"/>
  <c r="AG39" i="7"/>
  <c r="I50" i="7"/>
  <c r="M50" i="7"/>
  <c r="Q50" i="7"/>
  <c r="U50" i="7"/>
  <c r="Y50" i="7"/>
  <c r="AC50" i="7"/>
  <c r="AG50" i="7"/>
  <c r="N52" i="7"/>
  <c r="AD52" i="7"/>
  <c r="E37" i="6"/>
  <c r="J36" i="6"/>
  <c r="F37" i="6"/>
  <c r="H12" i="6"/>
  <c r="J13" i="6"/>
  <c r="E18" i="6"/>
  <c r="F18" i="6"/>
  <c r="E34" i="6"/>
  <c r="F34" i="6"/>
  <c r="H36" i="6"/>
  <c r="I12" i="6"/>
  <c r="G18" i="6"/>
  <c r="E28" i="6"/>
  <c r="F28" i="6"/>
  <c r="J10" i="6"/>
  <c r="J23" i="6"/>
  <c r="G28" i="6"/>
  <c r="J12" i="6" l="1"/>
  <c r="J52" i="7"/>
  <c r="J28" i="6"/>
  <c r="J18" i="6"/>
  <c r="I37" i="6"/>
  <c r="H37" i="6"/>
  <c r="J37" i="6"/>
  <c r="J34" i="6"/>
  <c r="I34" i="6"/>
  <c r="J15" i="6"/>
  <c r="V52" i="7"/>
  <c r="Y52" i="7"/>
  <c r="F52" i="7"/>
  <c r="X52" i="7"/>
  <c r="H52" i="7"/>
  <c r="P52" i="7"/>
  <c r="Z52" i="7"/>
  <c r="I52" i="7"/>
  <c r="AH52" i="7"/>
  <c r="AH55" i="7" s="1"/>
  <c r="AH57" i="7" s="1"/>
  <c r="AH59" i="7" s="1"/>
  <c r="R52" i="7"/>
  <c r="L52" i="7"/>
  <c r="G52" i="7"/>
  <c r="AA52" i="7"/>
  <c r="AF52" i="7"/>
  <c r="AF55" i="7" s="1"/>
  <c r="AF57" i="7" s="1"/>
  <c r="AB52" i="7"/>
  <c r="T52" i="7"/>
  <c r="AI52" i="7"/>
  <c r="AI55" i="7" s="1"/>
  <c r="AI57" i="7" s="1"/>
  <c r="AI59" i="7" s="1"/>
  <c r="AG52" i="7"/>
  <c r="AG55" i="7" s="1"/>
  <c r="AG57" i="7" s="1"/>
  <c r="AG59" i="7" s="1"/>
  <c r="Q52" i="7"/>
  <c r="K52" i="7"/>
  <c r="S52" i="7"/>
  <c r="AC52" i="7"/>
  <c r="M52" i="7"/>
  <c r="W52" i="7"/>
  <c r="U52" i="7"/>
  <c r="AE52" i="7"/>
  <c r="O52" i="7"/>
  <c r="H35" i="4" l="1"/>
  <c r="H39" i="4" s="1"/>
  <c r="H59" i="4"/>
  <c r="H26" i="4"/>
  <c r="I26" i="4"/>
  <c r="I35" i="4"/>
  <c r="I39" i="4" s="1"/>
  <c r="H42" i="4"/>
  <c r="H50" i="4" s="1"/>
  <c r="I42" i="4"/>
  <c r="I50" i="4" s="1"/>
  <c r="H47" i="4"/>
  <c r="I47" i="4"/>
  <c r="H52" i="4"/>
  <c r="H53" i="4"/>
  <c r="I53" i="4"/>
  <c r="H54" i="4"/>
  <c r="I54" i="4"/>
  <c r="H55" i="4"/>
  <c r="I55" i="4"/>
  <c r="I59" i="4"/>
  <c r="H57" i="4" l="1"/>
  <c r="H61" i="4" s="1"/>
  <c r="I57" i="4"/>
  <c r="I61" i="4" s="1"/>
  <c r="I43" i="1" l="1"/>
  <c r="F19" i="5" l="1"/>
  <c r="F18" i="5"/>
  <c r="F23" i="5"/>
  <c r="F10" i="5"/>
  <c r="F32" i="5"/>
  <c r="F27" i="5"/>
  <c r="F20" i="5"/>
  <c r="F16" i="5"/>
  <c r="F34" i="5" l="1"/>
  <c r="F21" i="5"/>
  <c r="F40" i="5" l="1"/>
  <c r="G54" i="4"/>
  <c r="G42" i="4"/>
  <c r="G50" i="4" s="1"/>
  <c r="G26" i="4"/>
  <c r="G59" i="4"/>
  <c r="G55" i="4"/>
  <c r="G53" i="4" l="1"/>
  <c r="G35" i="4"/>
  <c r="G39" i="4" s="1"/>
  <c r="G47" i="4"/>
  <c r="G52" i="4"/>
  <c r="G57" i="4" l="1"/>
  <c r="G61" i="4" s="1"/>
  <c r="G20" i="5" l="1"/>
  <c r="G32" i="5"/>
  <c r="G23" i="5"/>
  <c r="G10" i="5"/>
  <c r="G27" i="5"/>
  <c r="G16" i="5"/>
  <c r="G19" i="5" l="1"/>
  <c r="G21" i="5"/>
  <c r="G34" i="5"/>
  <c r="G18" i="5"/>
  <c r="AI52" i="4"/>
  <c r="G40" i="5" l="1"/>
  <c r="H51" i="1" l="1"/>
  <c r="H49" i="1" l="1"/>
  <c r="J51" i="1" l="1"/>
  <c r="J49" i="1" l="1"/>
  <c r="H23" i="5"/>
  <c r="H20" i="5"/>
  <c r="H10" i="5"/>
  <c r="H19" i="5"/>
  <c r="H27" i="5"/>
  <c r="H16" i="5"/>
  <c r="H18" i="5" l="1"/>
  <c r="H32" i="5"/>
  <c r="H34" i="5" l="1"/>
  <c r="H21" i="5"/>
  <c r="H40" i="5" l="1"/>
  <c r="AI50" i="4"/>
  <c r="AI47" i="4"/>
  <c r="AI42" i="4"/>
  <c r="AI54" i="4"/>
  <c r="AI26" i="4"/>
  <c r="AI59" i="4"/>
  <c r="AI55" i="4"/>
  <c r="AI53" i="4"/>
  <c r="AI18" i="4"/>
  <c r="AI22" i="4" s="1"/>
  <c r="AI57" i="4" l="1"/>
  <c r="AI61" i="4" s="1"/>
  <c r="AI35" i="4"/>
  <c r="AI39" i="4" s="1"/>
  <c r="I51" i="1" l="1"/>
  <c r="I49" i="1" l="1"/>
  <c r="N43" i="1" l="1"/>
  <c r="K51" i="1" l="1"/>
  <c r="K28" i="1"/>
  <c r="K16" i="1"/>
  <c r="K20" i="1" l="1"/>
  <c r="O43" i="1"/>
  <c r="O28" i="1"/>
  <c r="K27" i="1" l="1"/>
  <c r="K49" i="1"/>
  <c r="K32" i="1" l="1"/>
  <c r="K37" i="1" l="1"/>
  <c r="L43" i="1" l="1"/>
  <c r="L16" i="1" l="1"/>
  <c r="AJ59" i="4" l="1"/>
  <c r="L46" i="1"/>
  <c r="G39" i="6" s="1"/>
  <c r="L36" i="1"/>
  <c r="L31" i="1"/>
  <c r="L30" i="1"/>
  <c r="L26" i="1"/>
  <c r="L21" i="1"/>
  <c r="L19" i="1"/>
  <c r="L15" i="1"/>
  <c r="L28" i="1" l="1"/>
  <c r="L20" i="1" l="1"/>
  <c r="L27" i="1" l="1"/>
  <c r="L32" i="1" l="1"/>
  <c r="L37" i="1" l="1"/>
  <c r="M46" i="1" l="1"/>
  <c r="H39" i="6" s="1"/>
  <c r="M28" i="1" l="1"/>
  <c r="M16" i="1" l="1"/>
  <c r="M20" i="1" l="1"/>
  <c r="M27" i="1" l="1"/>
  <c r="M32" i="1" l="1"/>
  <c r="Q37" i="1" l="1"/>
  <c r="M37" i="1"/>
  <c r="P51" i="1" l="1"/>
  <c r="P49" i="1" l="1"/>
  <c r="AI58" i="7" l="1"/>
  <c r="AH58" i="7"/>
  <c r="AG58" i="7"/>
  <c r="T37" i="1" l="1"/>
  <c r="AN51" i="1" l="1"/>
  <c r="AN49" i="1" l="1"/>
  <c r="AM51" i="1" l="1"/>
  <c r="AM49" i="1" l="1"/>
  <c r="AL51" i="1" l="1"/>
  <c r="AL49" i="1" l="1"/>
  <c r="AI51" i="1"/>
  <c r="AJ51" i="1" l="1"/>
  <c r="AI49" i="1"/>
  <c r="AK51" i="1"/>
  <c r="AD51" i="1" l="1"/>
  <c r="AK49" i="1"/>
  <c r="AJ49" i="1"/>
  <c r="AD49" i="1" l="1"/>
  <c r="V37" i="1" l="1"/>
  <c r="U37" i="1"/>
  <c r="AC37" i="1" l="1"/>
  <c r="AA37" i="1"/>
  <c r="AE37" i="1"/>
  <c r="AH37" i="1"/>
  <c r="AF37" i="1"/>
  <c r="AG37" i="1"/>
  <c r="AB37" i="1"/>
  <c r="W37" i="1"/>
  <c r="Z37" i="1"/>
  <c r="X37" i="1" l="1"/>
  <c r="Y37" i="1" l="1"/>
  <c r="AN37" i="1" l="1"/>
  <c r="AM37" i="1" l="1"/>
  <c r="AL37" i="1" l="1"/>
  <c r="AI37" i="1" l="1"/>
  <c r="AD37" i="1"/>
  <c r="AK37" i="1" l="1"/>
  <c r="AJ37" i="1"/>
  <c r="R37" i="1" l="1"/>
  <c r="S37" i="1"/>
  <c r="AF58" i="7" l="1"/>
  <c r="AJ10" i="5" l="1"/>
  <c r="AJ32" i="5"/>
  <c r="AJ27" i="5"/>
  <c r="AJ20" i="5"/>
  <c r="AJ16" i="5"/>
  <c r="AJ23" i="5"/>
  <c r="L18" i="5"/>
  <c r="I23" i="5"/>
  <c r="K18" i="5"/>
  <c r="L27" i="5"/>
  <c r="K27" i="5"/>
  <c r="J27" i="5"/>
  <c r="I27" i="5"/>
  <c r="L16" i="5"/>
  <c r="K16" i="5"/>
  <c r="J16" i="5"/>
  <c r="I16" i="5"/>
  <c r="L19" i="5"/>
  <c r="AJ50" i="4"/>
  <c r="AJ42" i="4"/>
  <c r="AJ26" i="4"/>
  <c r="L23" i="5" l="1"/>
  <c r="J18" i="5"/>
  <c r="J32" i="5"/>
  <c r="I20" i="5"/>
  <c r="K23" i="5"/>
  <c r="L20" i="5"/>
  <c r="AJ19" i="5"/>
  <c r="AJ34" i="5"/>
  <c r="AJ21" i="5"/>
  <c r="AJ18" i="5"/>
  <c r="J19" i="5"/>
  <c r="K32" i="5"/>
  <c r="I18" i="5"/>
  <c r="K20" i="5"/>
  <c r="I32" i="5"/>
  <c r="J20" i="5"/>
  <c r="L32" i="5"/>
  <c r="I19" i="5"/>
  <c r="K19" i="5"/>
  <c r="J23" i="5"/>
  <c r="L10" i="5"/>
  <c r="I10" i="5"/>
  <c r="J10" i="5"/>
  <c r="K10" i="5"/>
  <c r="AJ47" i="4"/>
  <c r="AJ55" i="4"/>
  <c r="AJ54" i="4"/>
  <c r="AJ53" i="4"/>
  <c r="AJ52" i="4"/>
  <c r="AJ18" i="4"/>
  <c r="AJ22" i="4" s="1"/>
  <c r="AJ35" i="4"/>
  <c r="AJ39" i="4" s="1"/>
  <c r="I34" i="5" l="1"/>
  <c r="L34" i="5"/>
  <c r="K34" i="5"/>
  <c r="AJ40" i="5"/>
  <c r="J34" i="5"/>
  <c r="J21" i="5"/>
  <c r="L21" i="5"/>
  <c r="K21" i="5"/>
  <c r="I21" i="5"/>
  <c r="AJ57" i="4"/>
  <c r="AJ61" i="4" s="1"/>
  <c r="I40" i="5" l="1"/>
  <c r="L40" i="5"/>
  <c r="K40" i="5"/>
  <c r="J40" i="5"/>
  <c r="J47" i="4"/>
  <c r="J59" i="4"/>
  <c r="K35" i="4"/>
  <c r="K39" i="4" s="1"/>
  <c r="M54" i="4"/>
  <c r="M53" i="4"/>
  <c r="L53" i="4"/>
  <c r="K53" i="4"/>
  <c r="M52" i="4"/>
  <c r="M50" i="4"/>
  <c r="M47" i="4"/>
  <c r="L47" i="4"/>
  <c r="K47" i="4"/>
  <c r="L42" i="4"/>
  <c r="L50" i="4" s="1"/>
  <c r="K42" i="4"/>
  <c r="K50" i="4" s="1"/>
  <c r="J42" i="4"/>
  <c r="J50" i="4" s="1"/>
  <c r="M35" i="4"/>
  <c r="M39" i="4" s="1"/>
  <c r="L35" i="4"/>
  <c r="L39" i="4" s="1"/>
  <c r="L26" i="4"/>
  <c r="K26" i="4"/>
  <c r="J26" i="4"/>
  <c r="M59" i="4"/>
  <c r="L59" i="4"/>
  <c r="K59" i="4"/>
  <c r="M55" i="4"/>
  <c r="L55" i="4"/>
  <c r="K55" i="4"/>
  <c r="L54" i="4"/>
  <c r="K54" i="4"/>
  <c r="J54" i="4"/>
  <c r="J18" i="4"/>
  <c r="J55" i="4" l="1"/>
  <c r="M57" i="4"/>
  <c r="M61" i="4" s="1"/>
  <c r="K18" i="4"/>
  <c r="K22" i="4" s="1"/>
  <c r="J53" i="4"/>
  <c r="L18" i="4"/>
  <c r="L22" i="4" s="1"/>
  <c r="J22" i="4"/>
  <c r="J35" i="4"/>
  <c r="J39" i="4" s="1"/>
  <c r="M18" i="4"/>
  <c r="M22" i="4" s="1"/>
  <c r="J52" i="4"/>
  <c r="K52" i="4"/>
  <c r="L52" i="4"/>
  <c r="L57" i="4" l="1"/>
  <c r="L61" i="4" s="1"/>
  <c r="J57" i="4"/>
  <c r="J61" i="4" s="1"/>
  <c r="K57" i="4"/>
  <c r="K61" i="4" s="1"/>
  <c r="O16" i="1" l="1"/>
  <c r="L51" i="1"/>
  <c r="O51" i="1"/>
  <c r="N28" i="1"/>
  <c r="O20" i="1" l="1"/>
  <c r="L49" i="1"/>
  <c r="O49" i="1"/>
  <c r="N16" i="1"/>
  <c r="M43" i="1"/>
  <c r="M51" i="1"/>
  <c r="N51" i="1"/>
  <c r="O27" i="1" l="1"/>
  <c r="N20" i="1"/>
  <c r="M49" i="1"/>
  <c r="N49" i="1"/>
  <c r="O32" i="1" l="1"/>
  <c r="N27" i="1"/>
  <c r="N32" i="1" l="1"/>
  <c r="O37" i="1"/>
  <c r="N37" i="1" l="1"/>
  <c r="K43" i="1"/>
  <c r="N29" i="4" l="1"/>
  <c r="N12" i="4"/>
  <c r="AK50" i="4" l="1"/>
  <c r="AK42" i="4"/>
  <c r="AK26" i="4"/>
  <c r="Q10" i="5" l="1"/>
  <c r="AK27" i="5" l="1"/>
  <c r="AK16" i="5"/>
  <c r="P32" i="5"/>
  <c r="O32" i="5"/>
  <c r="N32" i="5"/>
  <c r="M32" i="5"/>
  <c r="P27" i="5"/>
  <c r="O27" i="5"/>
  <c r="N27" i="5"/>
  <c r="M27" i="5"/>
  <c r="P16" i="5"/>
  <c r="O16" i="5"/>
  <c r="N16" i="5"/>
  <c r="M16" i="5"/>
  <c r="P23" i="5"/>
  <c r="O23" i="5"/>
  <c r="N23" i="5"/>
  <c r="M23" i="5"/>
  <c r="P20" i="5"/>
  <c r="O20" i="5"/>
  <c r="N20" i="5"/>
  <c r="M20" i="5"/>
  <c r="P19" i="5"/>
  <c r="O19" i="5"/>
  <c r="N19" i="5"/>
  <c r="M19" i="5"/>
  <c r="P18" i="5"/>
  <c r="O18" i="5"/>
  <c r="N18" i="5"/>
  <c r="M18" i="5"/>
  <c r="AK23" i="5" l="1"/>
  <c r="AK10" i="5"/>
  <c r="AK32" i="5"/>
  <c r="AK20" i="5"/>
  <c r="AK19" i="5"/>
  <c r="AK18" i="5"/>
  <c r="M34" i="5"/>
  <c r="N34" i="5"/>
  <c r="O34" i="5"/>
  <c r="P34" i="5"/>
  <c r="M10" i="5"/>
  <c r="N10" i="5"/>
  <c r="O10" i="5"/>
  <c r="P10" i="5"/>
  <c r="O21" i="5" l="1"/>
  <c r="N21" i="5"/>
  <c r="N40" i="5"/>
  <c r="O40" i="5"/>
  <c r="M21" i="5"/>
  <c r="M40" i="5"/>
  <c r="AK34" i="5"/>
  <c r="P21" i="5"/>
  <c r="P40" i="5"/>
  <c r="AK21" i="5"/>
  <c r="Q59" i="4"/>
  <c r="AK40" i="5" l="1"/>
  <c r="P55" i="4"/>
  <c r="P35" i="4"/>
  <c r="P39" i="4" s="1"/>
  <c r="O54" i="4"/>
  <c r="N53" i="4"/>
  <c r="N59" i="4"/>
  <c r="O53" i="4"/>
  <c r="Q55" i="4"/>
  <c r="Q18" i="4"/>
  <c r="Q50" i="4"/>
  <c r="P42" i="4"/>
  <c r="P50" i="4" s="1"/>
  <c r="O42" i="4"/>
  <c r="O50" i="4" s="1"/>
  <c r="N42" i="4"/>
  <c r="N50" i="4" s="1"/>
  <c r="P26" i="4"/>
  <c r="O26" i="4"/>
  <c r="N26" i="4"/>
  <c r="AK55" i="4" l="1"/>
  <c r="AK54" i="4"/>
  <c r="AK59" i="4"/>
  <c r="Q22" i="4"/>
  <c r="AK35" i="4"/>
  <c r="Q54" i="4"/>
  <c r="AK53" i="4"/>
  <c r="P59" i="4"/>
  <c r="N55" i="4"/>
  <c r="Q53" i="4"/>
  <c r="Q35" i="4"/>
  <c r="N35" i="4"/>
  <c r="N39" i="4" s="1"/>
  <c r="P54" i="4"/>
  <c r="O47" i="4"/>
  <c r="P53" i="4"/>
  <c r="Q47" i="4"/>
  <c r="O35" i="4"/>
  <c r="O39" i="4" s="1"/>
  <c r="P47" i="4"/>
  <c r="O59" i="4"/>
  <c r="P52" i="4"/>
  <c r="N54" i="4"/>
  <c r="O55" i="4"/>
  <c r="O18" i="4"/>
  <c r="O22" i="4" s="1"/>
  <c r="N18" i="4"/>
  <c r="N22" i="4" s="1"/>
  <c r="AK18" i="4"/>
  <c r="Q52" i="4"/>
  <c r="P18" i="4"/>
  <c r="P22" i="4" s="1"/>
  <c r="O52" i="4"/>
  <c r="Q39" i="4" l="1"/>
  <c r="AK22" i="4"/>
  <c r="AK39" i="4"/>
  <c r="O57" i="4"/>
  <c r="O61" i="4" s="1"/>
  <c r="Q57" i="4"/>
  <c r="Q61" i="4" s="1"/>
  <c r="P57" i="4"/>
  <c r="P61" i="4" s="1"/>
  <c r="AQ61" i="4" l="1"/>
  <c r="Q23" i="5" l="1"/>
  <c r="Q18" i="5"/>
  <c r="Q20" i="5"/>
  <c r="Q19" i="5"/>
  <c r="U50" i="4" l="1"/>
  <c r="R20" i="5" l="1"/>
  <c r="R18" i="5"/>
  <c r="Q27" i="5"/>
  <c r="Q16" i="5"/>
  <c r="S16" i="5"/>
  <c r="R16" i="5"/>
  <c r="T16" i="5"/>
  <c r="S27" i="5"/>
  <c r="R27" i="5"/>
  <c r="T27" i="5"/>
  <c r="R19" i="5"/>
  <c r="R23" i="5"/>
  <c r="S26" i="4" l="1"/>
  <c r="R26" i="4"/>
  <c r="S42" i="4"/>
  <c r="S50" i="4" s="1"/>
  <c r="R42" i="4"/>
  <c r="R50" i="4" s="1"/>
  <c r="T42" i="4"/>
  <c r="T50" i="4" s="1"/>
  <c r="T26" i="4"/>
  <c r="Y51" i="1" l="1"/>
  <c r="Y49" i="1" l="1"/>
  <c r="S19" i="5"/>
  <c r="S20" i="5"/>
  <c r="S18" i="5"/>
  <c r="S23" i="5"/>
  <c r="AL23" i="5" l="1"/>
  <c r="AL32" i="5"/>
  <c r="AL18" i="5"/>
  <c r="AL27" i="5"/>
  <c r="AL19" i="5"/>
  <c r="AL16" i="5"/>
  <c r="T20" i="5"/>
  <c r="AL34" i="5" l="1"/>
  <c r="AL10" i="5"/>
  <c r="S32" i="5"/>
  <c r="R32" i="5"/>
  <c r="T23" i="5"/>
  <c r="T19" i="5"/>
  <c r="T18" i="5"/>
  <c r="T32" i="5"/>
  <c r="AL20" i="5"/>
  <c r="Q32" i="5"/>
  <c r="T10" i="5"/>
  <c r="R10" i="5"/>
  <c r="S10" i="5"/>
  <c r="S34" i="5" l="1"/>
  <c r="AL21" i="5"/>
  <c r="Q34" i="5"/>
  <c r="Q21" i="5"/>
  <c r="R34" i="5"/>
  <c r="R21" i="5"/>
  <c r="T34" i="5"/>
  <c r="AL40" i="5"/>
  <c r="S21" i="5"/>
  <c r="T21" i="5"/>
  <c r="AL59" i="4"/>
  <c r="S40" i="5" l="1"/>
  <c r="Q40" i="5"/>
  <c r="R40" i="5"/>
  <c r="T40" i="5"/>
  <c r="T59" i="4"/>
  <c r="R59" i="4" l="1"/>
  <c r="S59" i="4"/>
  <c r="U59" i="4" l="1"/>
  <c r="U51" i="1" l="1"/>
  <c r="V51" i="1"/>
  <c r="U23" i="5"/>
  <c r="U19" i="5"/>
  <c r="U18" i="5"/>
  <c r="U49" i="1" l="1"/>
  <c r="V49" i="1"/>
  <c r="U20" i="5"/>
  <c r="V32" i="5"/>
  <c r="V19" i="5"/>
  <c r="V23" i="5"/>
  <c r="V20" i="5"/>
  <c r="V18" i="5"/>
  <c r="V10" i="5"/>
  <c r="V21" i="5" l="1"/>
  <c r="V34" i="5"/>
  <c r="V40" i="5" l="1"/>
  <c r="W54" i="4"/>
  <c r="W35" i="4"/>
  <c r="W47" i="4"/>
  <c r="W55" i="4"/>
  <c r="W39" i="4" l="1"/>
  <c r="W52" i="4"/>
  <c r="W53" i="4"/>
  <c r="W59" i="4"/>
  <c r="W18" i="4"/>
  <c r="W22" i="4" l="1"/>
  <c r="W57" i="4"/>
  <c r="W61" i="4" l="1"/>
  <c r="AP57" i="4"/>
  <c r="AP61" i="4" s="1"/>
  <c r="AP18" i="4"/>
  <c r="AQ68" i="4"/>
  <c r="AP68" i="4"/>
  <c r="AG18" i="4" l="1"/>
  <c r="AJ53" i="1" l="1"/>
  <c r="W51" i="1" l="1"/>
  <c r="W18" i="5"/>
  <c r="W20" i="5"/>
  <c r="W23" i="5"/>
  <c r="W19" i="5"/>
  <c r="W49" i="1" l="1"/>
  <c r="AA32" i="5" l="1"/>
  <c r="AM27" i="5"/>
  <c r="AM16" i="5"/>
  <c r="AN23" i="5"/>
  <c r="AG23" i="5"/>
  <c r="X23" i="5"/>
  <c r="AO20" i="5"/>
  <c r="AN20" i="5"/>
  <c r="AM20" i="5"/>
  <c r="AF20" i="5"/>
  <c r="AE20" i="5"/>
  <c r="AB20" i="5"/>
  <c r="AA20" i="5"/>
  <c r="X20" i="5"/>
  <c r="AQ19" i="5"/>
  <c r="AP19" i="5"/>
  <c r="AM19" i="5"/>
  <c r="AG19" i="5"/>
  <c r="AC19" i="5"/>
  <c r="AN18" i="5"/>
  <c r="AM10" i="5"/>
  <c r="AM47" i="4"/>
  <c r="Z47" i="4"/>
  <c r="V47" i="4"/>
  <c r="AC59" i="4"/>
  <c r="AB59" i="4"/>
  <c r="Y59" i="4"/>
  <c r="X59" i="4"/>
  <c r="AB54" i="4"/>
  <c r="X18" i="4"/>
  <c r="X22" i="4" l="1"/>
  <c r="AG22" i="4"/>
  <c r="AD54" i="4"/>
  <c r="AE54" i="4"/>
  <c r="AG59" i="4"/>
  <c r="AG52" i="4"/>
  <c r="AF59" i="4"/>
  <c r="AD35" i="4"/>
  <c r="AE47" i="4"/>
  <c r="AG47" i="4"/>
  <c r="AO52" i="4"/>
  <c r="AG53" i="4"/>
  <c r="AO55" i="4"/>
  <c r="AD53" i="4"/>
  <c r="AE55" i="4"/>
  <c r="AO59" i="4"/>
  <c r="AF52" i="4"/>
  <c r="AE53" i="4"/>
  <c r="AG54" i="4"/>
  <c r="AF55" i="4"/>
  <c r="AD47" i="4"/>
  <c r="AA34" i="5"/>
  <c r="AF47" i="4"/>
  <c r="AD52" i="4"/>
  <c r="AF54" i="4"/>
  <c r="AO54" i="4"/>
  <c r="AG55" i="4"/>
  <c r="AD59" i="4"/>
  <c r="AF35" i="4"/>
  <c r="AO35" i="4"/>
  <c r="AE35" i="4"/>
  <c r="AO47" i="4"/>
  <c r="AE52" i="4"/>
  <c r="AF53" i="4"/>
  <c r="AO53" i="4"/>
  <c r="AD55" i="4"/>
  <c r="AE59" i="4"/>
  <c r="AG35" i="4"/>
  <c r="AO23" i="5"/>
  <c r="X47" i="4"/>
  <c r="AE18" i="5"/>
  <c r="AD20" i="5"/>
  <c r="AB23" i="5"/>
  <c r="AA53" i="4"/>
  <c r="X54" i="4"/>
  <c r="Y55" i="4"/>
  <c r="AC55" i="4"/>
  <c r="V59" i="4"/>
  <c r="Z59" i="4"/>
  <c r="AM59" i="4"/>
  <c r="Y47" i="4"/>
  <c r="Z19" i="5"/>
  <c r="AD19" i="5"/>
  <c r="U32" i="5"/>
  <c r="AM32" i="5"/>
  <c r="AQ32" i="5"/>
  <c r="AA18" i="5"/>
  <c r="X53" i="4"/>
  <c r="Y54" i="4"/>
  <c r="AC54" i="4"/>
  <c r="V55" i="4"/>
  <c r="Z55" i="4"/>
  <c r="AM55" i="4"/>
  <c r="AA59" i="4"/>
  <c r="AN59" i="4"/>
  <c r="U10" i="5"/>
  <c r="AA23" i="5"/>
  <c r="AE23" i="5"/>
  <c r="Y19" i="5"/>
  <c r="AF18" i="4"/>
  <c r="Y18" i="4"/>
  <c r="AB47" i="4"/>
  <c r="Z32" i="5"/>
  <c r="AD32" i="5"/>
  <c r="Y23" i="5"/>
  <c r="AC23" i="5"/>
  <c r="AP23" i="5"/>
  <c r="AD18" i="4"/>
  <c r="AO18" i="4"/>
  <c r="Y10" i="5"/>
  <c r="AC10" i="5"/>
  <c r="AG10" i="5"/>
  <c r="AP10" i="5"/>
  <c r="AA52" i="4"/>
  <c r="AB53" i="4"/>
  <c r="AE18" i="4"/>
  <c r="AN53" i="4"/>
  <c r="AD10" i="5"/>
  <c r="Z20" i="5"/>
  <c r="AF23" i="5"/>
  <c r="AQ20" i="5"/>
  <c r="Z52" i="4"/>
  <c r="X19" i="5"/>
  <c r="AO19" i="5"/>
  <c r="V18" i="4"/>
  <c r="Z18" i="4"/>
  <c r="AM18" i="4"/>
  <c r="X35" i="4"/>
  <c r="AB35" i="4"/>
  <c r="AA47" i="4"/>
  <c r="AN47" i="4"/>
  <c r="Z23" i="5"/>
  <c r="AD23" i="5"/>
  <c r="AM23" i="5"/>
  <c r="AQ23" i="5"/>
  <c r="AF19" i="5"/>
  <c r="AA18" i="4"/>
  <c r="AN18" i="4"/>
  <c r="Y35" i="4"/>
  <c r="AC35" i="4"/>
  <c r="AC47" i="4"/>
  <c r="AM52" i="4"/>
  <c r="X10" i="5"/>
  <c r="AB10" i="5"/>
  <c r="AF10" i="5"/>
  <c r="AO10" i="5"/>
  <c r="AF18" i="5"/>
  <c r="AB19" i="5"/>
  <c r="V52" i="4"/>
  <c r="W10" i="5"/>
  <c r="AA10" i="5"/>
  <c r="AE10" i="5"/>
  <c r="AN10" i="5"/>
  <c r="AO18" i="5"/>
  <c r="W32" i="5"/>
  <c r="AA19" i="5"/>
  <c r="AE19" i="5"/>
  <c r="AN19" i="5"/>
  <c r="Y20" i="5"/>
  <c r="AC20" i="5"/>
  <c r="AG20" i="5"/>
  <c r="AP20" i="5"/>
  <c r="Y32" i="5"/>
  <c r="Y18" i="5"/>
  <c r="AC18" i="5"/>
  <c r="AC32" i="5"/>
  <c r="AG32" i="5"/>
  <c r="AG18" i="5"/>
  <c r="AP18" i="5"/>
  <c r="AP32" i="5"/>
  <c r="AE32" i="5"/>
  <c r="X52" i="4"/>
  <c r="AB52" i="4"/>
  <c r="Y53" i="4"/>
  <c r="AC53" i="4"/>
  <c r="V54" i="4"/>
  <c r="Z54" i="4"/>
  <c r="AM54" i="4"/>
  <c r="AA55" i="4"/>
  <c r="AN55" i="4"/>
  <c r="AB18" i="4"/>
  <c r="V35" i="4"/>
  <c r="Z35" i="4"/>
  <c r="AM35" i="4"/>
  <c r="AN52" i="4"/>
  <c r="AQ10" i="5"/>
  <c r="X18" i="5"/>
  <c r="AN32" i="5"/>
  <c r="Y52" i="4"/>
  <c r="AC52" i="4"/>
  <c r="V53" i="4"/>
  <c r="Z53" i="4"/>
  <c r="AM53" i="4"/>
  <c r="AA54" i="4"/>
  <c r="AN54" i="4"/>
  <c r="X55" i="4"/>
  <c r="AB55" i="4"/>
  <c r="AC18" i="4"/>
  <c r="AA35" i="4"/>
  <c r="AN35" i="4"/>
  <c r="Z10" i="5"/>
  <c r="AB18" i="5"/>
  <c r="X32" i="5"/>
  <c r="AO32" i="5"/>
  <c r="Z18" i="5"/>
  <c r="AD18" i="5"/>
  <c r="AM18" i="5"/>
  <c r="AQ18" i="5"/>
  <c r="AB32" i="5"/>
  <c r="AF32" i="5"/>
  <c r="V22" i="4" l="1"/>
  <c r="Y22" i="4"/>
  <c r="X39" i="4"/>
  <c r="AD34" i="5"/>
  <c r="V39" i="4"/>
  <c r="Y39" i="4"/>
  <c r="U21" i="5"/>
  <c r="U34" i="5"/>
  <c r="Z39" i="4"/>
  <c r="AC39" i="4"/>
  <c r="AE22" i="4"/>
  <c r="AF22" i="4"/>
  <c r="AA22" i="4"/>
  <c r="AB39" i="4"/>
  <c r="AA39" i="4"/>
  <c r="AD22" i="4"/>
  <c r="AC22" i="4"/>
  <c r="AG39" i="4"/>
  <c r="AD39" i="4"/>
  <c r="AE39" i="4"/>
  <c r="AB22" i="4"/>
  <c r="Z22" i="4"/>
  <c r="AN68" i="4"/>
  <c r="AF39" i="4"/>
  <c r="AO68" i="4"/>
  <c r="AF57" i="4"/>
  <c r="AG57" i="4"/>
  <c r="AD57" i="4"/>
  <c r="AE57" i="4"/>
  <c r="AM39" i="4"/>
  <c r="AO39" i="4"/>
  <c r="AN39" i="4"/>
  <c r="AO22" i="4"/>
  <c r="AN22" i="4"/>
  <c r="AM22" i="4"/>
  <c r="AQ34" i="5"/>
  <c r="AA21" i="5"/>
  <c r="Z34" i="5"/>
  <c r="AM34" i="5"/>
  <c r="AA40" i="5"/>
  <c r="AD21" i="5"/>
  <c r="V57" i="4"/>
  <c r="W34" i="5"/>
  <c r="W21" i="5"/>
  <c r="AA57" i="4"/>
  <c r="AQ21" i="5"/>
  <c r="AC57" i="4"/>
  <c r="AM21" i="5"/>
  <c r="AO57" i="4"/>
  <c r="Z21" i="5"/>
  <c r="Z57" i="4"/>
  <c r="AB57" i="4"/>
  <c r="AM57" i="4"/>
  <c r="AN21" i="5"/>
  <c r="AN34" i="5"/>
  <c r="AC34" i="5"/>
  <c r="AC21" i="5"/>
  <c r="X21" i="5"/>
  <c r="X34" i="5"/>
  <c r="X57" i="4"/>
  <c r="AB34" i="5"/>
  <c r="AB21" i="5"/>
  <c r="AP34" i="5"/>
  <c r="AP21" i="5"/>
  <c r="AO34" i="5"/>
  <c r="AO21" i="5"/>
  <c r="AF21" i="5"/>
  <c r="AF34" i="5"/>
  <c r="Y57" i="4"/>
  <c r="AN57" i="4"/>
  <c r="AE34" i="5"/>
  <c r="AE21" i="5"/>
  <c r="AG34" i="5"/>
  <c r="AG21" i="5"/>
  <c r="Y34" i="5"/>
  <c r="Y21" i="5"/>
  <c r="AD40" i="5" l="1"/>
  <c r="V61" i="4"/>
  <c r="AE40" i="5"/>
  <c r="AG40" i="5"/>
  <c r="Y61" i="4"/>
  <c r="AF40" i="5"/>
  <c r="X61" i="4"/>
  <c r="U40" i="5"/>
  <c r="AB61" i="4"/>
  <c r="AA61" i="4"/>
  <c r="AG61" i="4"/>
  <c r="Z61" i="4"/>
  <c r="AC61" i="4"/>
  <c r="AE61" i="4"/>
  <c r="AF61" i="4"/>
  <c r="AD61" i="4"/>
  <c r="AC40" i="5"/>
  <c r="AM61" i="4"/>
  <c r="Y40" i="5"/>
  <c r="AP40" i="5"/>
  <c r="X40" i="5"/>
  <c r="AN40" i="5"/>
  <c r="AO61" i="4"/>
  <c r="Z40" i="5"/>
  <c r="AO40" i="5"/>
  <c r="AB40" i="5"/>
  <c r="W40" i="5"/>
  <c r="AM40" i="5"/>
  <c r="AQ40" i="5"/>
  <c r="AN61" i="4"/>
  <c r="Z51" i="1" l="1"/>
  <c r="Z49" i="1" l="1"/>
  <c r="X51" i="1"/>
  <c r="X49" i="1" l="1"/>
  <c r="AQ65" i="4"/>
  <c r="AQ63" i="4"/>
  <c r="AH51" i="1"/>
  <c r="AH49" i="1" l="1"/>
  <c r="AG51" i="1"/>
  <c r="AG49" i="1" l="1"/>
  <c r="AP65" i="4"/>
  <c r="AN64" i="4"/>
  <c r="AO65" i="4"/>
  <c r="AN62" i="4"/>
  <c r="AO62" i="4"/>
  <c r="AF51" i="1"/>
  <c r="AQ62" i="4"/>
  <c r="AF49" i="1" l="1"/>
  <c r="AN63" i="4"/>
  <c r="AN65" i="4"/>
  <c r="AP64" i="4"/>
  <c r="AP63" i="4"/>
  <c r="AO64" i="4"/>
  <c r="AQ64" i="4"/>
  <c r="AQ66" i="4" l="1"/>
  <c r="AB51" i="1"/>
  <c r="AA51" i="1"/>
  <c r="AO63" i="4"/>
  <c r="AP62" i="4"/>
  <c r="AC51" i="1"/>
  <c r="AA49" i="1" l="1"/>
  <c r="AC49" i="1"/>
  <c r="AB49" i="1"/>
  <c r="AN66" i="4"/>
  <c r="AP66" i="4" l="1"/>
  <c r="AO66" i="4"/>
  <c r="AE51" i="1"/>
  <c r="AE49" i="1" l="1"/>
  <c r="S47" i="4"/>
  <c r="T47" i="4"/>
  <c r="R47" i="4"/>
  <c r="U47" i="4"/>
  <c r="U55" i="4" l="1"/>
  <c r="T55" i="4"/>
  <c r="U54" i="4"/>
  <c r="T53" i="4"/>
  <c r="T54" i="4" l="1"/>
  <c r="S53" i="4"/>
  <c r="U53" i="4"/>
  <c r="S54" i="4" l="1"/>
  <c r="S55" i="4"/>
  <c r="R53" i="4"/>
  <c r="R55" i="4" l="1"/>
  <c r="R54" i="4" l="1"/>
  <c r="N47" i="4" l="1"/>
  <c r="N52" i="4"/>
  <c r="T35" i="4"/>
  <c r="T39" i="4" s="1"/>
  <c r="N57" i="4" l="1"/>
  <c r="N61" i="4" s="1"/>
  <c r="R35" i="4"/>
  <c r="R39" i="4" s="1"/>
  <c r="U35" i="4"/>
  <c r="U39" i="4" s="1"/>
  <c r="S35" i="4"/>
  <c r="S39" i="4" s="1"/>
  <c r="AK52" i="4" l="1"/>
  <c r="AK47" i="4"/>
  <c r="AK57" i="4" l="1"/>
  <c r="AK61" i="4" s="1"/>
  <c r="R52" i="4"/>
  <c r="R18" i="4"/>
  <c r="R22" i="4" s="1"/>
  <c r="U52" i="4"/>
  <c r="U18" i="4"/>
  <c r="U22" i="4" s="1"/>
  <c r="T52" i="4"/>
  <c r="T18" i="4"/>
  <c r="T22" i="4" s="1"/>
  <c r="S52" i="4"/>
  <c r="S18" i="4"/>
  <c r="S22" i="4" s="1"/>
  <c r="S57" i="4" l="1"/>
  <c r="S61" i="4" s="1"/>
  <c r="T57" i="4"/>
  <c r="T61" i="4" s="1"/>
  <c r="R57" i="4"/>
  <c r="R61" i="4" s="1"/>
  <c r="U57" i="4"/>
  <c r="U61" i="4" s="1"/>
  <c r="AL52" i="4"/>
  <c r="AL55" i="4" l="1"/>
  <c r="AL35" i="4"/>
  <c r="AL39" i="4" s="1"/>
  <c r="AL54" i="4" l="1"/>
  <c r="AL47" i="4"/>
  <c r="AL53" i="4" l="1"/>
  <c r="AL18" i="4"/>
  <c r="AL22" i="4" s="1"/>
  <c r="AL57" i="4" l="1"/>
  <c r="AL61" i="4" s="1"/>
  <c r="P37" i="1" l="1"/>
  <c r="S51" i="1" l="1"/>
  <c r="R51" i="1"/>
  <c r="Q51" i="1"/>
  <c r="Q49" i="1" l="1"/>
  <c r="S49" i="1"/>
  <c r="R49" i="1"/>
  <c r="T51" i="1"/>
  <c r="T49" i="1" l="1"/>
  <c r="H28" i="1" l="1"/>
  <c r="I28" i="1"/>
  <c r="I37" i="1" l="1"/>
  <c r="H37" i="1"/>
</calcChain>
</file>

<file path=xl/sharedStrings.xml><?xml version="1.0" encoding="utf-8"?>
<sst xmlns="http://schemas.openxmlformats.org/spreadsheetml/2006/main" count="452" uniqueCount="203">
  <si>
    <t>Consolidated Income Statement</t>
  </si>
  <si>
    <t>In thousands of U.S. dollars</t>
  </si>
  <si>
    <t>For the year ended December 31,</t>
  </si>
  <si>
    <t>(except number of shares and per share data)</t>
  </si>
  <si>
    <t>3Q 2013</t>
  </si>
  <si>
    <t>2Q 2013</t>
  </si>
  <si>
    <t>1Q 2013</t>
  </si>
  <si>
    <t>Selected consolidated income statement data</t>
  </si>
  <si>
    <t>Continuing operations</t>
  </si>
  <si>
    <t>Net sales</t>
  </si>
  <si>
    <t>Cost of sales</t>
  </si>
  <si>
    <t>Gross profit</t>
  </si>
  <si>
    <t>Selling, general and administrative expenses</t>
  </si>
  <si>
    <t>Other operating (expenses) income, net</t>
  </si>
  <si>
    <t>Operating income</t>
  </si>
  <si>
    <t>Income before income tax expense</t>
  </si>
  <si>
    <t>Current and deferred income tax expense</t>
  </si>
  <si>
    <t>Reversal of deferred statutory profit sharing</t>
  </si>
  <si>
    <t>Discontinued operations</t>
  </si>
  <si>
    <t>Income from discontinued operations</t>
  </si>
  <si>
    <t>Attributable to:</t>
  </si>
  <si>
    <t>Non-controlling interest</t>
  </si>
  <si>
    <t>Depreciation and amortization</t>
  </si>
  <si>
    <t xml:space="preserve">Dividends per share </t>
  </si>
  <si>
    <t>n/a</t>
  </si>
  <si>
    <t>Dividends per share (expressed in EUR)</t>
  </si>
  <si>
    <t>(1)</t>
  </si>
  <si>
    <t>(2)</t>
  </si>
  <si>
    <t>(3)</t>
  </si>
  <si>
    <t>Consolidated Balance Sheet</t>
  </si>
  <si>
    <t>In thousands U.S. dollars</t>
  </si>
  <si>
    <t>At December 31,</t>
  </si>
  <si>
    <t>Selected consolidated balance sheet data</t>
  </si>
  <si>
    <t>Non-current assets</t>
  </si>
  <si>
    <t>Property, plant and equipment, net</t>
  </si>
  <si>
    <t>Current assets</t>
  </si>
  <si>
    <t>Cash and cash equivalents</t>
  </si>
  <si>
    <t>Non-current assets classified as held for sale</t>
  </si>
  <si>
    <t>Total assets</t>
  </si>
  <si>
    <t>Non-current liabilities</t>
  </si>
  <si>
    <t>Borrowings</t>
  </si>
  <si>
    <t>Other non-current liabilities</t>
  </si>
  <si>
    <t>Current liabilities</t>
  </si>
  <si>
    <t>Other current liabilities</t>
  </si>
  <si>
    <t>Total liabilities</t>
  </si>
  <si>
    <t>Total equity and liabilities</t>
  </si>
  <si>
    <t>Consolidated Cash Flow Statement</t>
  </si>
  <si>
    <t xml:space="preserve">  Depreciation and amortization</t>
  </si>
  <si>
    <t xml:space="preserve">  Changes in provisions</t>
  </si>
  <si>
    <t xml:space="preserve">  Net foreign exchange results and others</t>
  </si>
  <si>
    <t xml:space="preserve">  Interest accruals less payments</t>
  </si>
  <si>
    <t xml:space="preserve">  Income tax accruals less payments</t>
  </si>
  <si>
    <t xml:space="preserve">  Impairment charge</t>
  </si>
  <si>
    <t xml:space="preserve">  Changes in working capital</t>
  </si>
  <si>
    <t xml:space="preserve">  Capital expenditures</t>
  </si>
  <si>
    <t xml:space="preserve">  Proceeds from the sale of property, plant &amp; equipment</t>
  </si>
  <si>
    <t>Purchase consideration</t>
  </si>
  <si>
    <t>Cash acquired</t>
  </si>
  <si>
    <t xml:space="preserve">  Acquisition of non-controlling interest</t>
  </si>
  <si>
    <t xml:space="preserve">  Dividends received from non-consolidated companies</t>
  </si>
  <si>
    <t xml:space="preserve">  Contributions in non-consolidated companies</t>
  </si>
  <si>
    <t xml:space="preserve">  Proceeds from Sidor financial asset</t>
  </si>
  <si>
    <t xml:space="preserve">  Proceeds from sale of discontinued operations</t>
  </si>
  <si>
    <t xml:space="preserve">  Discontinued operations</t>
  </si>
  <si>
    <t xml:space="preserve">  Dividends paid in cash to company's shareholders</t>
  </si>
  <si>
    <t xml:space="preserve">  Repurchase of treasury shares</t>
  </si>
  <si>
    <t xml:space="preserve">  Proceeds from borrowings</t>
  </si>
  <si>
    <t xml:space="preserve">  Repayments of borrowings</t>
  </si>
  <si>
    <t>Segment EBITDA</t>
  </si>
  <si>
    <t>Steel reporting segment</t>
  </si>
  <si>
    <t>(*)</t>
  </si>
  <si>
    <t>(**)</t>
  </si>
  <si>
    <t>USD million</t>
  </si>
  <si>
    <t>4Q 2012</t>
  </si>
  <si>
    <t>3Q 2012</t>
  </si>
  <si>
    <t>2Q 2012</t>
  </si>
  <si>
    <t>1Q 2012</t>
  </si>
  <si>
    <t>Ton (thousands)</t>
  </si>
  <si>
    <t>Net Sales</t>
  </si>
  <si>
    <t>SG&amp;A expenses</t>
  </si>
  <si>
    <t>Amortization and depreciation</t>
  </si>
  <si>
    <t>EBITDA</t>
  </si>
  <si>
    <t>Mining reporting segment</t>
  </si>
  <si>
    <t>Intersegment eliminations</t>
  </si>
  <si>
    <t>Total</t>
  </si>
  <si>
    <t>Segment Sales</t>
  </si>
  <si>
    <t>Shipments</t>
  </si>
  <si>
    <t>Thousand tons</t>
  </si>
  <si>
    <t>4Q 2011</t>
  </si>
  <si>
    <t>Mexico</t>
  </si>
  <si>
    <t>Southern Region</t>
  </si>
  <si>
    <t>Other Markets</t>
  </si>
  <si>
    <t>Total steel segment</t>
  </si>
  <si>
    <t>Total mining segment</t>
  </si>
  <si>
    <t>Revenue / ton</t>
  </si>
  <si>
    <t>USD/ton</t>
  </si>
  <si>
    <t>Total steel products</t>
  </si>
  <si>
    <t>Other products (1)</t>
  </si>
  <si>
    <t>Total net sales</t>
  </si>
  <si>
    <t>4Q 2013</t>
  </si>
  <si>
    <t>Deferred tax liabilities</t>
  </si>
  <si>
    <t xml:space="preserve">  Acquisition of business/stake</t>
  </si>
  <si>
    <t>1Q 2014</t>
  </si>
  <si>
    <t>4Q 2014</t>
  </si>
  <si>
    <t>3Q 2014</t>
  </si>
  <si>
    <t>2Q 2014</t>
  </si>
  <si>
    <t>Income tax expense</t>
  </si>
  <si>
    <t xml:space="preserve">  Loans to non consolidated companies</t>
  </si>
  <si>
    <t>Cash and cash equivalents at Beggining of year/period</t>
  </si>
  <si>
    <t>Effect of exchange rate changes on cash and cash equivalents</t>
  </si>
  <si>
    <t>Increase/(Decrease) in cash and cash equivalents from continuing operations</t>
  </si>
  <si>
    <t xml:space="preserve">Cash &amp; cash equivalents of discontinued operations </t>
  </si>
  <si>
    <t>Control vs. IS</t>
  </si>
  <si>
    <t>Control vs. CF</t>
  </si>
  <si>
    <t>Control vs. Cash del BS</t>
  </si>
  <si>
    <t>Finance income</t>
  </si>
  <si>
    <t>Owners of the parent</t>
  </si>
  <si>
    <t>From continuing operations attributable to the owners of the parent</t>
  </si>
  <si>
    <t>From discontinued operations attributable to the owners of the parent</t>
  </si>
  <si>
    <t>For the year attributable to the owners of the parent</t>
  </si>
  <si>
    <t>4Q 2015</t>
  </si>
  <si>
    <t>3Q 2015</t>
  </si>
  <si>
    <t>2Q 2015</t>
  </si>
  <si>
    <t>1Q 2015</t>
  </si>
  <si>
    <t xml:space="preserve">  Results on the sale of participation in subsidiary company</t>
  </si>
  <si>
    <t xml:space="preserve">  Sale of participation in subsidiary company, net of cash disposed</t>
  </si>
  <si>
    <t>Finance expense</t>
  </si>
  <si>
    <t>Profit (Loss) from continuing operations</t>
  </si>
  <si>
    <t>Profit (Loss) for the year</t>
  </si>
  <si>
    <t xml:space="preserve">  Dividends paid in cash to non-controlling interests</t>
  </si>
  <si>
    <t xml:space="preserve">Starting on January 1, 2013, Consorcio Peña Colorada and Exiros have been proportionally consolidated. Comparative amounts for the years ended December 31, 2012, 2011 and 2010 show them as investments in non-consolidated companies and their results are included within “Equity in (losses) earnings of non-consolidated companies” in the consolidated income statement. </t>
  </si>
  <si>
    <t xml:space="preserve">Ternium changed prospectively the functional currency of its Mexican subsidiaries to the U.S. dollar, effective as of January 1, 2012. For the periods ended December 31, 2011 and 2010 the functional currency for the Company’s Mexican subsidiaries was the Mexican peso. </t>
  </si>
  <si>
    <t>(4)</t>
  </si>
  <si>
    <t>(5)</t>
  </si>
  <si>
    <t xml:space="preserve">International Accounting Standard N° 1 (IAS 1) (Revised) requires that income for the year as shown in the income statement includes the portion attributable to non-controlling interest. Basic earnings per share, however, continue to be calculated on the basis of income attributable solely to the owners of the parent. </t>
  </si>
  <si>
    <t xml:space="preserve">Diluted earnings per share (expressed in USD per share), equals basic earnings per share. </t>
  </si>
  <si>
    <t>(***)</t>
  </si>
  <si>
    <t>(1) Primarily includes pig iron.</t>
  </si>
  <si>
    <t>4Q 2016</t>
  </si>
  <si>
    <t>3Q 2016</t>
  </si>
  <si>
    <t>2Q 2016</t>
  </si>
  <si>
    <t>1Q 2016</t>
  </si>
  <si>
    <t>Equity in earnings (losses) of non-consolidated companies</t>
  </si>
  <si>
    <t xml:space="preserve">  Equity in (earnings) losses of non-consolidated
     companies</t>
  </si>
  <si>
    <t>Net cash provided by operating activities</t>
  </si>
  <si>
    <t xml:space="preserve">  Contributions from non-controlling shareholders in consolidated subsidiaries</t>
  </si>
  <si>
    <r>
      <t xml:space="preserve">Weighted average number of shares </t>
    </r>
    <r>
      <rPr>
        <sz val="11"/>
        <color indexed="8"/>
        <rFont val="Sabon MT"/>
        <family val="1"/>
      </rPr>
      <t>(3)</t>
    </r>
  </si>
  <si>
    <r>
      <t xml:space="preserve">Basic earnings (losses) per share (expressed in USD per share) for profit: </t>
    </r>
    <r>
      <rPr>
        <sz val="11"/>
        <color indexed="8"/>
        <rFont val="Sabon MT"/>
        <family val="1"/>
      </rPr>
      <t>(4) (5)</t>
    </r>
  </si>
  <si>
    <r>
      <t xml:space="preserve">Other non-current assets </t>
    </r>
    <r>
      <rPr>
        <sz val="11"/>
        <color indexed="8"/>
        <rFont val="Sabon MT"/>
        <family val="1"/>
      </rPr>
      <t>(1)</t>
    </r>
  </si>
  <si>
    <r>
      <t xml:space="preserve">Other current assets </t>
    </r>
    <r>
      <rPr>
        <sz val="11"/>
        <color indexed="8"/>
        <rFont val="Sabon MT"/>
        <family val="1"/>
      </rPr>
      <t>(2)</t>
    </r>
  </si>
  <si>
    <t>Capital and reserves attributable to the owners of the parent (2)</t>
  </si>
  <si>
    <r>
      <t xml:space="preserve">Number of shares </t>
    </r>
    <r>
      <rPr>
        <sz val="11"/>
        <color indexed="8"/>
        <rFont val="Sabon MT"/>
        <family val="1"/>
      </rPr>
      <t>(3)</t>
    </r>
  </si>
  <si>
    <t>1Q 2017</t>
  </si>
  <si>
    <t>2Q 2017</t>
  </si>
  <si>
    <t>3Q 2017</t>
  </si>
  <si>
    <t>4Q 2017</t>
  </si>
  <si>
    <t>2016 (*)</t>
  </si>
  <si>
    <t>Net cash used in investing activities</t>
  </si>
  <si>
    <t xml:space="preserve">  Finance Lease payments</t>
  </si>
  <si>
    <t>Finance lease liabilities</t>
  </si>
  <si>
    <t>Non-cash transactions:</t>
  </si>
  <si>
    <t>Acquisition of PP&amp;E under lease contract agreeements</t>
  </si>
  <si>
    <t>Profit for the period</t>
  </si>
  <si>
    <t>(****)</t>
  </si>
  <si>
    <t xml:space="preserve">Of the 2,004,743,442 shares issued as of June 30, 2017, Ternium held 41,666,666 through its wholly-owned subsidiary Ternium International Inc., repurchased from Usiminas on February 15, 2011. Such shares were not considered outstanding for purposes of the calculation of the weighted average number of shares. </t>
  </si>
  <si>
    <t>Net cash (used in) provided by financing activities</t>
  </si>
  <si>
    <t>Investments in non-consolidated companies</t>
  </si>
  <si>
    <t>Other financial (expenses) income, net</t>
  </si>
  <si>
    <t xml:space="preserve">  (Increase) Decrease in Other Investments</t>
  </si>
  <si>
    <t>2017(*)</t>
  </si>
  <si>
    <t>2013 (****)</t>
  </si>
  <si>
    <t>2011(1)(2)</t>
  </si>
  <si>
    <t>2010(1)(2)</t>
  </si>
  <si>
    <t>4Q 2018</t>
  </si>
  <si>
    <t>4Q2018</t>
  </si>
  <si>
    <t>2018(*)</t>
  </si>
  <si>
    <t xml:space="preserve">As of December 31, 2018, 2017, 2016, 2015 and 2014, includes financial assets with maturity of more than three months for a total amount of USD51.5 million, USD135.9 million, USD150.9 million, USD237.2 million, USD150.0 million and USD169.5 million, respectively. </t>
  </si>
  <si>
    <t xml:space="preserve"> The Company’s share capital as of December 31, 2018, 2017, 2016, 2015 and 2014 was represented by 2,004,743,442 shares, par value USD1.00 per share, for a total amount of USD2,004.7 million. Of the 2,004,743,442 shares, as of December 31, 2018, Ternium held 41,666,666 through its wholly-owned subsidiary Ternium International Inc., repurchased from Usiminas on February 15, 2011. </t>
  </si>
  <si>
    <t>(*) Source: 2018 Form 20F</t>
  </si>
  <si>
    <t>(**) Source: 2017 Form 20F</t>
  </si>
  <si>
    <t>(***) Source: 2016 Form 20F</t>
  </si>
  <si>
    <t>(****) Source: 2015 Form 20F</t>
  </si>
  <si>
    <t>Increase (Decrease) in cash and cash equivalents</t>
  </si>
  <si>
    <t>2015 (**)</t>
  </si>
  <si>
    <t>2014 (***)</t>
  </si>
  <si>
    <t>2Q 2019</t>
  </si>
  <si>
    <t>1H 2019</t>
  </si>
  <si>
    <t>2Q2019</t>
  </si>
  <si>
    <t>1Q2019*</t>
  </si>
  <si>
    <t>(*) Figures for the first quarter 2019 have been adjusted to reflect the application of IAS 29 to the financial reporting of Ternium’s Argentine subsidiaries.</t>
  </si>
  <si>
    <t>(**) Figures for the third, second and first quarter 2018 have been adjusted to reflect the application of IAS 29 to the financial reporting of Ternium’s Argentine subsidiaries.</t>
  </si>
  <si>
    <t>3Q 2018**</t>
  </si>
  <si>
    <t>2Q 2018**</t>
  </si>
  <si>
    <t>1Q 2018**</t>
  </si>
  <si>
    <t>(°) Figures for first quarter 2019 have been adjusted to reflect the application of IAS 29 to the financial reporting of Ternium’s Argentine subsidiaries.</t>
  </si>
  <si>
    <t>(°°) Figures for the third, second and first quarter 2018 have been adjusted to reflect the application of IAS 29 to the financial reporting of Ternium’s Argentine subsidiaries.</t>
  </si>
  <si>
    <t>1Q 2019(°)</t>
  </si>
  <si>
    <t>3Q 2018(°°)</t>
  </si>
  <si>
    <t>2Q 2018(°°)</t>
  </si>
  <si>
    <t>1Q 2018(°°)</t>
  </si>
  <si>
    <t xml:space="preserve">As of December 31, 2018, 2017, 2016, 2015 and 2014, includes goodwill mainly related to the acquisition of our Mexican subsidiaries for a total amount of USD662.3 million, USD662.3 million, USD662.3 million, USD662.3 million and USD662.3 million, respectively. </t>
  </si>
  <si>
    <t>1Q2019(°)</t>
  </si>
  <si>
    <t>3Q2018(°°)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</si>
</sst>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 #,##0.00_ ;_ * \-#,##0.00_ ;_ * &quot;-&quot;??_ ;_ @_ "/>
    <numFmt numFmtId="165" formatCode="_ * #,##0_ ;_ * \-#,##0_ ;_ * &quot;-&quot;??_ ;_ @_ "/>
    <numFmt numFmtId="166" formatCode="_ * #,##0.00_)\ _U_$_S_ ;_ * \(#,##0.00\)\ _U_$_S_ ;_ * &quot;-&quot;??_)\ _U_$_S_ ;_ @_ "/>
    <numFmt numFmtId="167" formatCode="_ * #,##0.0_);_ * \(#,##0.0\);_ * &quot;-&quot;??_);_ @_ "/>
    <numFmt numFmtId="168" formatCode="_ * #,##0_);_ * \(#,##0\);_ * &quot;-&quot;??_);_ @_ "/>
    <numFmt numFmtId="169" formatCode="_ * #,##0.00_);_ * \(#,##0.00\);_ * &quot;-&quot;??_);_ @_ "/>
    <numFmt numFmtId="170" formatCode="_ * #,##0.000_);_ * \(#,##0.000\);_ * &quot;-&quot;??_);_ @_ "/>
    <numFmt numFmtId="171" formatCode="_ * #,##0.0_)\ _U_$_S_ ;_ * \(#,##0.0\)\ _U_$_S_ ;_ * &quot;-&quot;??_)\ _U_$_S_ ;_ @_ "/>
    <numFmt numFmtId="172" formatCode="_ * #,##0.0_ ;_ * \-#,##0.0_ ;_ * &quot;-&quot;??_ ;_ @_ "/>
    <numFmt numFmtId="173" formatCode="#,##0.0_);\(#,##0.0\)"/>
    <numFmt numFmtId="174" formatCode="_ * #,##0.000_ ;_ * \-#,##0.000_ ;_ * &quot;-&quot;??_ ;_ @_ "/>
    <numFmt numFmtId="175" formatCode="_(* #,##0.0_);_(* \(#,##0.0\);_(* &quot;-&quot;?_);_(@_)"/>
    <numFmt numFmtId="176" formatCode="0.0"/>
    <numFmt numFmtId="177" formatCode="_ * #,##0.0000_ ;_ * \-#,##0.0000_ ;_ * &quot;-&quot;??_ ;_ @_ "/>
    <numFmt numFmtId="178" formatCode="_-* #,##0.000\ _€_-;\-* #,##0.000\ _€_-;_-* &quot;-&quot;???\ _€_-;_-@_-"/>
  </numFmts>
  <fonts count="23" x14ac:knownFonts="1">
    <font>
      <sz val="11"/>
      <color theme="1"/>
      <name val="Calibri"/>
      <family val="2"/>
      <scheme val="minor"/>
    </font>
    <font>
      <sz val="10"/>
      <name val="Arial"/>
      <family val="2"/>
    </font>
    <font>
      <sz val="11"/>
      <name val="Sabon MT"/>
      <family val="1"/>
    </font>
    <font>
      <sz val="11"/>
      <color indexed="8"/>
      <name val="Sabon MT"/>
      <family val="1"/>
    </font>
    <font>
      <b/>
      <i/>
      <sz val="11"/>
      <name val="Sabon MT"/>
      <family val="1"/>
    </font>
    <font>
      <b/>
      <sz val="11"/>
      <name val="Sabon MT"/>
      <family val="1"/>
    </font>
    <font>
      <b/>
      <sz val="11"/>
      <color indexed="9"/>
      <name val="Sabon MT"/>
      <family val="1"/>
    </font>
    <font>
      <b/>
      <u/>
      <sz val="11"/>
      <name val="Sabon MT"/>
      <family val="1"/>
    </font>
    <font>
      <vertAlign val="superscript"/>
      <sz val="11"/>
      <name val="Sabon MT"/>
      <family val="1"/>
    </font>
    <font>
      <sz val="11"/>
      <color theme="1"/>
      <name val="Calibri"/>
      <family val="2"/>
      <scheme val="minor"/>
    </font>
    <font>
      <b/>
      <u/>
      <sz val="12"/>
      <color theme="1"/>
      <name val="Sabon MT"/>
      <family val="1"/>
    </font>
    <font>
      <sz val="11"/>
      <color theme="1"/>
      <name val="Sabon MT"/>
      <family val="1"/>
    </font>
    <font>
      <b/>
      <i/>
      <sz val="11"/>
      <color theme="1"/>
      <name val="Sabon MT"/>
      <family val="1"/>
    </font>
    <font>
      <b/>
      <sz val="11"/>
      <color theme="1"/>
      <name val="Sabon MT"/>
      <family val="1"/>
    </font>
    <font>
      <sz val="11"/>
      <color rgb="FFFF0000"/>
      <name val="Sabon MT"/>
      <family val="1"/>
    </font>
    <font>
      <b/>
      <u/>
      <sz val="11"/>
      <color theme="1"/>
      <name val="Sabon MT"/>
      <family val="1"/>
    </font>
    <font>
      <u/>
      <sz val="11"/>
      <color theme="1"/>
      <name val="Sabon MT"/>
      <family val="1"/>
    </font>
    <font>
      <sz val="11"/>
      <color theme="0"/>
      <name val="Sabon MT"/>
      <family val="1"/>
    </font>
    <font>
      <b/>
      <sz val="11"/>
      <color theme="0"/>
      <name val="Sabon MT"/>
      <family val="1"/>
    </font>
    <font>
      <b/>
      <i/>
      <sz val="11"/>
      <color rgb="FFFF0000"/>
      <name val="Sabon MT"/>
      <family val="1"/>
    </font>
    <font>
      <sz val="10"/>
      <name val="Sabon MT"/>
      <family val="1"/>
    </font>
    <font>
      <b/>
      <sz val="10"/>
      <name val="Sabon MT"/>
      <family val="1"/>
    </font>
    <font>
      <b/>
      <sz val="10"/>
      <color indexed="9"/>
      <name val="Sabon MT"/>
      <family val="1"/>
    </font>
  </fonts>
  <fills count="5">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rgb="FF92D050"/>
        <bgColor indexed="64"/>
      </patternFill>
    </fill>
  </fills>
  <borders count="4">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s>
  <cellStyleXfs count="7">
    <xf numFmtId="0" fontId="0" fillId="0" borderId="0"/>
    <xf numFmtId="164" fontId="9"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180">
    <xf numFmtId="0" fontId="0" fillId="0" borderId="0" xfId="0"/>
    <xf numFmtId="49" fontId="10" fillId="0" borderId="0" xfId="0" applyNumberFormat="1" applyFont="1" applyAlignment="1">
      <alignment vertical="top"/>
    </xf>
    <xf numFmtId="49" fontId="11" fillId="0" borderId="0" xfId="0" applyNumberFormat="1" applyFont="1" applyAlignment="1">
      <alignment horizontal="right" vertical="top"/>
    </xf>
    <xf numFmtId="0" fontId="11" fillId="0" borderId="0" xfId="0" applyFont="1"/>
    <xf numFmtId="165" fontId="11" fillId="0" borderId="0" xfId="1" applyNumberFormat="1" applyFont="1"/>
    <xf numFmtId="0" fontId="11" fillId="0" borderId="0" xfId="0" applyFont="1" applyAlignment="1">
      <alignment horizontal="right" vertical="top"/>
    </xf>
    <xf numFmtId="0" fontId="11" fillId="0" borderId="0" xfId="0" applyFont="1" applyFill="1" applyAlignment="1">
      <alignment horizontal="right" vertical="top"/>
    </xf>
    <xf numFmtId="0" fontId="12" fillId="0" borderId="0" xfId="0" applyFont="1" applyFill="1" applyAlignment="1">
      <alignment vertical="center" wrapText="1"/>
    </xf>
    <xf numFmtId="0" fontId="11" fillId="0" borderId="0" xfId="0" applyFont="1" applyFill="1"/>
    <xf numFmtId="0" fontId="13" fillId="0" borderId="0" xfId="0" applyFont="1" applyFill="1" applyAlignment="1">
      <alignment horizontal="center" vertical="center" wrapText="1"/>
    </xf>
    <xf numFmtId="0" fontId="13" fillId="0" borderId="0" xfId="0" applyFont="1" applyFill="1" applyAlignment="1">
      <alignment horizontal="left" vertical="center" wrapText="1" indent="1"/>
    </xf>
    <xf numFmtId="0" fontId="11" fillId="0" borderId="0" xfId="0" applyFont="1" applyFill="1" applyAlignment="1">
      <alignment horizontal="left" vertical="center" wrapText="1" indent="1"/>
    </xf>
    <xf numFmtId="165" fontId="11" fillId="0" borderId="0" xfId="1" applyNumberFormat="1" applyFont="1" applyFill="1"/>
    <xf numFmtId="167" fontId="14" fillId="0" borderId="0" xfId="2" applyNumberFormat="1" applyFont="1" applyFill="1" applyBorder="1" applyAlignment="1">
      <alignment horizontal="left"/>
    </xf>
    <xf numFmtId="167" fontId="2" fillId="0" borderId="0" xfId="2" applyNumberFormat="1" applyFont="1" applyBorder="1" applyAlignment="1">
      <alignment horizontal="center"/>
    </xf>
    <xf numFmtId="168" fontId="2" fillId="0" borderId="0" xfId="2" applyNumberFormat="1" applyFont="1" applyFill="1" applyBorder="1" applyAlignment="1">
      <alignment horizontal="center"/>
    </xf>
    <xf numFmtId="168" fontId="2" fillId="0" borderId="1" xfId="2" applyNumberFormat="1" applyFont="1" applyFill="1" applyBorder="1" applyAlignment="1">
      <alignment horizontal="center"/>
    </xf>
    <xf numFmtId="168" fontId="2" fillId="0" borderId="2" xfId="2" applyNumberFormat="1" applyFont="1" applyFill="1" applyBorder="1" applyAlignment="1">
      <alignment horizontal="center"/>
    </xf>
    <xf numFmtId="3" fontId="11" fillId="0" borderId="0" xfId="0" applyNumberFormat="1" applyFont="1" applyFill="1" applyAlignment="1">
      <alignment horizontal="right" vertical="center" wrapText="1"/>
    </xf>
    <xf numFmtId="0" fontId="11" fillId="0" borderId="0" xfId="0" applyFont="1" applyFill="1" applyAlignment="1">
      <alignment horizontal="right" vertical="center" wrapText="1"/>
    </xf>
    <xf numFmtId="165" fontId="11" fillId="0" borderId="0" xfId="1" applyNumberFormat="1" applyFont="1" applyFill="1" applyAlignment="1">
      <alignment horizontal="right"/>
    </xf>
    <xf numFmtId="0" fontId="11" fillId="0" borderId="0" xfId="0" applyFont="1" applyFill="1" applyAlignment="1">
      <alignment horizontal="right"/>
    </xf>
    <xf numFmtId="0" fontId="11" fillId="0" borderId="0" xfId="0" applyFont="1" applyFill="1" applyAlignment="1">
      <alignment vertical="center" wrapText="1"/>
    </xf>
    <xf numFmtId="0" fontId="15" fillId="0" borderId="0" xfId="0" applyFont="1" applyFill="1" applyAlignment="1">
      <alignment horizontal="center" vertical="center" wrapText="1"/>
    </xf>
    <xf numFmtId="0" fontId="16" fillId="0" borderId="0" xfId="0" applyFont="1" applyFill="1" applyAlignment="1">
      <alignment vertical="center" wrapText="1"/>
    </xf>
    <xf numFmtId="0" fontId="12" fillId="0" borderId="0" xfId="0" applyFont="1" applyFill="1" applyAlignment="1"/>
    <xf numFmtId="165" fontId="11" fillId="0" borderId="0" xfId="1" applyNumberFormat="1" applyFont="1" applyFill="1" applyAlignment="1">
      <alignment vertical="center" wrapText="1"/>
    </xf>
    <xf numFmtId="0" fontId="16" fillId="0" borderId="0" xfId="0" applyFont="1" applyFill="1"/>
    <xf numFmtId="3" fontId="11" fillId="0" borderId="0" xfId="0" applyNumberFormat="1" applyFont="1" applyFill="1"/>
    <xf numFmtId="0" fontId="11" fillId="0" borderId="0" xfId="0" applyFont="1" applyFill="1" applyAlignment="1">
      <alignment vertical="top" wrapText="1"/>
    </xf>
    <xf numFmtId="171" fontId="4" fillId="0" borderId="0" xfId="1" applyNumberFormat="1" applyFont="1" applyFill="1" applyAlignment="1">
      <alignment horizontal="left" vertical="center"/>
    </xf>
    <xf numFmtId="0" fontId="2" fillId="0" borderId="0" xfId="0" applyFont="1" applyFill="1"/>
    <xf numFmtId="171" fontId="5" fillId="0" borderId="0" xfId="1" applyNumberFormat="1" applyFont="1" applyFill="1" applyAlignment="1">
      <alignment horizontal="center" vertical="center"/>
    </xf>
    <xf numFmtId="168" fontId="5" fillId="0" borderId="0" xfId="1" applyNumberFormat="1" applyFont="1" applyFill="1" applyBorder="1" applyAlignment="1">
      <alignment horizontal="center" vertical="center"/>
    </xf>
    <xf numFmtId="171" fontId="2" fillId="0" borderId="0" xfId="1" applyNumberFormat="1" applyFont="1" applyFill="1"/>
    <xf numFmtId="168" fontId="2" fillId="0" borderId="0" xfId="1" applyNumberFormat="1" applyFont="1" applyFill="1" applyBorder="1" applyAlignment="1">
      <alignment horizontal="center"/>
    </xf>
    <xf numFmtId="171" fontId="2" fillId="0" borderId="0" xfId="1" applyNumberFormat="1" applyFont="1" applyFill="1" applyBorder="1"/>
    <xf numFmtId="171" fontId="2" fillId="0" borderId="0" xfId="1" applyNumberFormat="1" applyFont="1" applyFill="1" applyAlignment="1">
      <alignment wrapText="1"/>
    </xf>
    <xf numFmtId="168" fontId="5" fillId="0" borderId="3" xfId="1" applyNumberFormat="1" applyFont="1" applyFill="1" applyBorder="1" applyAlignment="1">
      <alignment horizontal="center"/>
    </xf>
    <xf numFmtId="171" fontId="5" fillId="0" borderId="0" xfId="1" applyNumberFormat="1" applyFont="1" applyFill="1" applyBorder="1"/>
    <xf numFmtId="168" fontId="5" fillId="0" borderId="0" xfId="1" applyNumberFormat="1" applyFont="1" applyFill="1" applyBorder="1" applyAlignment="1">
      <alignment horizontal="center"/>
    </xf>
    <xf numFmtId="171" fontId="2" fillId="0" borderId="0" xfId="1" applyNumberFormat="1" applyFont="1" applyFill="1" applyBorder="1" applyAlignment="1">
      <alignment wrapText="1"/>
    </xf>
    <xf numFmtId="171" fontId="2" fillId="0" borderId="0" xfId="1" applyNumberFormat="1" applyFont="1" applyFill="1" applyBorder="1" applyAlignment="1">
      <alignment horizontal="left" indent="3"/>
    </xf>
    <xf numFmtId="171" fontId="2" fillId="0" borderId="0" xfId="1" applyNumberFormat="1" applyFont="1" applyFill="1" applyBorder="1" applyAlignment="1">
      <alignment vertical="top" wrapText="1"/>
    </xf>
    <xf numFmtId="168" fontId="2" fillId="0" borderId="0" xfId="1" applyNumberFormat="1" applyFont="1" applyBorder="1" applyAlignment="1">
      <alignment horizontal="center"/>
    </xf>
    <xf numFmtId="1" fontId="5" fillId="0" borderId="0" xfId="4" applyNumberFormat="1" applyFont="1" applyFill="1" applyBorder="1" applyAlignment="1">
      <alignment horizontal="center" vertical="center" wrapText="1"/>
    </xf>
    <xf numFmtId="1" fontId="6" fillId="2" borderId="0" xfId="0" applyNumberFormat="1" applyFont="1" applyFill="1" applyBorder="1" applyAlignment="1">
      <alignment horizontal="center" vertical="center"/>
    </xf>
    <xf numFmtId="172" fontId="6" fillId="2" borderId="0" xfId="6" applyNumberFormat="1" applyFont="1" applyFill="1" applyBorder="1" applyAlignment="1">
      <alignment horizontal="center" vertical="center"/>
    </xf>
    <xf numFmtId="0" fontId="2" fillId="0" borderId="0" xfId="0" applyFont="1"/>
    <xf numFmtId="0" fontId="2" fillId="0" borderId="0" xfId="0" applyFont="1" applyFill="1" applyAlignment="1">
      <alignment horizontal="left" vertical="center" wrapText="1" indent="1"/>
    </xf>
    <xf numFmtId="167" fontId="2" fillId="0" borderId="0" xfId="4" applyNumberFormat="1" applyFont="1" applyFill="1" applyBorder="1" applyAlignment="1">
      <alignment horizontal="center"/>
    </xf>
    <xf numFmtId="167" fontId="2" fillId="0" borderId="1" xfId="4" applyNumberFormat="1" applyFont="1" applyFill="1" applyBorder="1" applyAlignment="1">
      <alignment horizontal="center"/>
    </xf>
    <xf numFmtId="167" fontId="2" fillId="0" borderId="0" xfId="4" applyNumberFormat="1" applyFont="1" applyBorder="1" applyAlignment="1">
      <alignment horizontal="center"/>
    </xf>
    <xf numFmtId="0" fontId="17" fillId="0" borderId="0" xfId="0" applyFont="1"/>
    <xf numFmtId="173" fontId="18" fillId="2" borderId="0" xfId="0" applyNumberFormat="1" applyFont="1" applyFill="1" applyBorder="1"/>
    <xf numFmtId="0" fontId="2" fillId="0" borderId="0" xfId="5" applyFont="1" applyFill="1" applyAlignment="1">
      <alignment horizontal="left" vertical="center" wrapText="1" indent="1"/>
    </xf>
    <xf numFmtId="0" fontId="2" fillId="0" borderId="0" xfId="5" applyFont="1"/>
    <xf numFmtId="173" fontId="18" fillId="2" borderId="0" xfId="5" applyNumberFormat="1" applyFont="1" applyFill="1" applyBorder="1"/>
    <xf numFmtId="0" fontId="5" fillId="0" borderId="0" xfId="0" applyFont="1" applyFill="1" applyAlignment="1">
      <alignment vertical="center" wrapText="1"/>
    </xf>
    <xf numFmtId="1" fontId="2" fillId="0" borderId="0" xfId="4"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xf>
    <xf numFmtId="173" fontId="18" fillId="0" borderId="0" xfId="0" applyNumberFormat="1" applyFont="1" applyFill="1" applyBorder="1"/>
    <xf numFmtId="0" fontId="2" fillId="0" borderId="0" xfId="5" applyFont="1" applyBorder="1"/>
    <xf numFmtId="0" fontId="2" fillId="0" borderId="0" xfId="5" applyFont="1" applyFill="1"/>
    <xf numFmtId="167" fontId="18" fillId="0" borderId="0" xfId="3" applyNumberFormat="1" applyFont="1" applyBorder="1" applyAlignment="1">
      <alignment horizontal="center"/>
    </xf>
    <xf numFmtId="173" fontId="18" fillId="0" borderId="0" xfId="5" applyNumberFormat="1" applyFont="1" applyFill="1" applyBorder="1"/>
    <xf numFmtId="0" fontId="2" fillId="0" borderId="0" xfId="0" applyFont="1" applyBorder="1"/>
    <xf numFmtId="172" fontId="5" fillId="0" borderId="0" xfId="6" applyNumberFormat="1" applyFont="1" applyBorder="1" applyAlignment="1">
      <alignment vertical="center"/>
    </xf>
    <xf numFmtId="172" fontId="6" fillId="2" borderId="0" xfId="6" applyNumberFormat="1" applyFont="1" applyFill="1" applyAlignment="1">
      <alignment horizontal="center" vertical="center"/>
    </xf>
    <xf numFmtId="172" fontId="7" fillId="0" borderId="0" xfId="6" applyNumberFormat="1" applyFont="1" applyAlignment="1">
      <alignment vertical="center"/>
    </xf>
    <xf numFmtId="1" fontId="6" fillId="2" borderId="0" xfId="6" applyNumberFormat="1" applyFont="1" applyFill="1" applyBorder="1" applyAlignment="1">
      <alignment horizontal="center" vertical="center"/>
    </xf>
    <xf numFmtId="172" fontId="6" fillId="0" borderId="0" xfId="6" applyNumberFormat="1" applyFont="1" applyFill="1" applyAlignment="1">
      <alignment horizontal="center" vertical="center"/>
    </xf>
    <xf numFmtId="172" fontId="6" fillId="0" borderId="0" xfId="6" applyNumberFormat="1" applyFont="1" applyFill="1" applyBorder="1" applyAlignment="1">
      <alignment horizontal="center" vertical="center"/>
    </xf>
    <xf numFmtId="172" fontId="7" fillId="0" borderId="0" xfId="6" applyNumberFormat="1" applyFont="1" applyFill="1" applyAlignment="1">
      <alignment vertical="center"/>
    </xf>
    <xf numFmtId="172" fontId="2" fillId="0" borderId="0" xfId="6" applyNumberFormat="1" applyFont="1" applyFill="1" applyAlignment="1">
      <alignment horizontal="left" vertical="center" indent="1"/>
    </xf>
    <xf numFmtId="172" fontId="2" fillId="0" borderId="0" xfId="2" applyNumberFormat="1" applyFont="1" applyBorder="1" applyAlignment="1"/>
    <xf numFmtId="172" fontId="2" fillId="0" borderId="0" xfId="6" applyNumberFormat="1" applyFont="1"/>
    <xf numFmtId="172" fontId="2" fillId="0" borderId="0" xfId="6" applyNumberFormat="1" applyFont="1" applyBorder="1"/>
    <xf numFmtId="172" fontId="2" fillId="0" borderId="3" xfId="2" applyNumberFormat="1" applyFont="1" applyBorder="1" applyAlignment="1"/>
    <xf numFmtId="165" fontId="2" fillId="0" borderId="0" xfId="2" applyNumberFormat="1" applyFont="1" applyBorder="1" applyAlignment="1"/>
    <xf numFmtId="165" fontId="2" fillId="0" borderId="0" xfId="6" applyNumberFormat="1" applyFont="1"/>
    <xf numFmtId="165" fontId="2" fillId="0" borderId="0" xfId="6" applyNumberFormat="1" applyFont="1" applyBorder="1"/>
    <xf numFmtId="165" fontId="2" fillId="0" borderId="3" xfId="2" applyNumberFormat="1" applyFont="1" applyBorder="1" applyAlignment="1"/>
    <xf numFmtId="172" fontId="2" fillId="0" borderId="0" xfId="6" applyNumberFormat="1" applyFont="1" applyFill="1" applyAlignment="1">
      <alignment horizontal="left" indent="1"/>
    </xf>
    <xf numFmtId="172" fontId="18" fillId="2" borderId="0" xfId="6" applyNumberFormat="1" applyFont="1" applyFill="1" applyBorder="1"/>
    <xf numFmtId="172" fontId="18" fillId="2" borderId="0" xfId="2" applyNumberFormat="1" applyFont="1" applyFill="1" applyBorder="1" applyAlignment="1"/>
    <xf numFmtId="172" fontId="17" fillId="0" borderId="0" xfId="6" applyNumberFormat="1" applyFont="1" applyBorder="1"/>
    <xf numFmtId="172" fontId="8" fillId="0" borderId="0" xfId="6" applyNumberFormat="1" applyFont="1" applyFill="1" applyBorder="1" applyAlignment="1"/>
    <xf numFmtId="172" fontId="5" fillId="0" borderId="0" xfId="2" applyNumberFormat="1" applyFont="1" applyFill="1" applyBorder="1" applyAlignment="1"/>
    <xf numFmtId="172" fontId="2" fillId="0" borderId="0" xfId="6" applyNumberFormat="1" applyFont="1" applyFill="1" applyBorder="1"/>
    <xf numFmtId="169" fontId="2" fillId="0" borderId="0" xfId="2" applyNumberFormat="1" applyFont="1" applyFill="1" applyBorder="1" applyAlignment="1">
      <alignment horizontal="center"/>
    </xf>
    <xf numFmtId="170" fontId="2" fillId="0" borderId="0" xfId="2" applyNumberFormat="1" applyFont="1" applyFill="1" applyBorder="1" applyAlignment="1">
      <alignment horizontal="right"/>
    </xf>
    <xf numFmtId="170" fontId="2" fillId="0" borderId="0" xfId="2" applyNumberFormat="1" applyFont="1" applyFill="1" applyBorder="1" applyAlignment="1">
      <alignment horizontal="center"/>
    </xf>
    <xf numFmtId="174" fontId="11" fillId="0" borderId="0" xfId="1" applyNumberFormat="1" applyFont="1"/>
    <xf numFmtId="172" fontId="2" fillId="0" borderId="0" xfId="2" applyNumberFormat="1" applyFont="1" applyFill="1" applyBorder="1" applyAlignment="1"/>
    <xf numFmtId="172" fontId="2" fillId="0" borderId="3" xfId="2" applyNumberFormat="1" applyFont="1" applyFill="1" applyBorder="1" applyAlignment="1"/>
    <xf numFmtId="171" fontId="2" fillId="0" borderId="0" xfId="1" applyNumberFormat="1" applyFont="1" applyFill="1" applyAlignment="1">
      <alignment vertical="top" wrapText="1"/>
    </xf>
    <xf numFmtId="172" fontId="2" fillId="0" borderId="0" xfId="6" applyNumberFormat="1" applyFont="1" applyFill="1"/>
    <xf numFmtId="172" fontId="2" fillId="0" borderId="0" xfId="1" applyNumberFormat="1" applyFont="1"/>
    <xf numFmtId="172" fontId="11" fillId="0" borderId="0" xfId="0" applyNumberFormat="1" applyFont="1"/>
    <xf numFmtId="175" fontId="2" fillId="0" borderId="0" xfId="5" applyNumberFormat="1" applyFont="1"/>
    <xf numFmtId="176" fontId="5" fillId="0" borderId="0" xfId="4" applyNumberFormat="1" applyFont="1" applyFill="1" applyBorder="1" applyAlignment="1">
      <alignment horizontal="center" vertical="center" wrapText="1"/>
    </xf>
    <xf numFmtId="168" fontId="2" fillId="0" borderId="3" xfId="2" applyNumberFormat="1" applyFont="1" applyFill="1" applyBorder="1" applyAlignment="1">
      <alignment horizontal="center"/>
    </xf>
    <xf numFmtId="172" fontId="5" fillId="0" borderId="0" xfId="6" applyNumberFormat="1" applyFont="1" applyFill="1" applyBorder="1" applyAlignment="1">
      <alignment vertical="center"/>
    </xf>
    <xf numFmtId="164" fontId="11" fillId="0" borderId="0" xfId="1" applyFont="1"/>
    <xf numFmtId="164" fontId="17" fillId="0" borderId="0" xfId="1" applyFont="1"/>
    <xf numFmtId="171" fontId="2" fillId="0" borderId="0" xfId="1" applyNumberFormat="1" applyFont="1" applyFill="1" applyBorder="1" applyAlignment="1">
      <alignment horizontal="left" indent="1"/>
    </xf>
    <xf numFmtId="168" fontId="5" fillId="0" borderId="0" xfId="1" applyNumberFormat="1" applyFont="1" applyBorder="1" applyAlignment="1">
      <alignment horizontal="center"/>
    </xf>
    <xf numFmtId="1" fontId="5" fillId="3" borderId="0" xfId="4" applyNumberFormat="1" applyFont="1" applyFill="1" applyBorder="1" applyAlignment="1">
      <alignment horizontal="center" vertical="center" wrapText="1"/>
    </xf>
    <xf numFmtId="167" fontId="2" fillId="3" borderId="0" xfId="4" applyNumberFormat="1" applyFont="1" applyFill="1" applyBorder="1" applyAlignment="1">
      <alignment horizontal="center"/>
    </xf>
    <xf numFmtId="167" fontId="2" fillId="3" borderId="1" xfId="4" applyNumberFormat="1" applyFont="1" applyFill="1" applyBorder="1" applyAlignment="1">
      <alignment horizontal="center"/>
    </xf>
    <xf numFmtId="164" fontId="2" fillId="0" borderId="0" xfId="1" applyFont="1" applyBorder="1" applyAlignment="1">
      <alignment horizontal="center"/>
    </xf>
    <xf numFmtId="171" fontId="2" fillId="0" borderId="0" xfId="2" applyNumberFormat="1" applyFont="1" applyBorder="1"/>
    <xf numFmtId="171" fontId="2" fillId="0" borderId="0" xfId="2" applyNumberFormat="1" applyFont="1"/>
    <xf numFmtId="0" fontId="2" fillId="0" borderId="0" xfId="0" applyFont="1" applyFill="1" applyAlignment="1">
      <alignment horizontal="left" vertical="center" wrapText="1" indent="3"/>
    </xf>
    <xf numFmtId="0" fontId="5" fillId="0" borderId="0" xfId="0" applyFont="1" applyFill="1" applyAlignment="1">
      <alignment horizontal="left" vertical="center" wrapText="1" indent="1"/>
    </xf>
    <xf numFmtId="167" fontId="14" fillId="0" borderId="0" xfId="2" applyNumberFormat="1" applyFont="1" applyFill="1" applyBorder="1" applyAlignment="1">
      <alignment horizontal="center"/>
    </xf>
    <xf numFmtId="0" fontId="14" fillId="0" borderId="0" xfId="0" applyFont="1" applyFill="1"/>
    <xf numFmtId="0" fontId="19" fillId="0" borderId="0" xfId="0" applyFont="1" applyFill="1" applyAlignment="1"/>
    <xf numFmtId="168" fontId="11" fillId="0" borderId="0" xfId="0" applyNumberFormat="1" applyFont="1" applyFill="1"/>
    <xf numFmtId="165" fontId="12" fillId="0" borderId="0" xfId="0" applyNumberFormat="1" applyFont="1" applyFill="1" applyAlignment="1"/>
    <xf numFmtId="0" fontId="13" fillId="0" borderId="3" xfId="0" applyFont="1" applyFill="1" applyBorder="1" applyAlignment="1">
      <alignment horizontal="center" vertical="center" wrapText="1"/>
    </xf>
    <xf numFmtId="172" fontId="11" fillId="0" borderId="0" xfId="1" applyNumberFormat="1" applyFont="1"/>
    <xf numFmtId="172" fontId="6" fillId="2" borderId="0" xfId="1" applyNumberFormat="1" applyFont="1" applyFill="1" applyBorder="1" applyAlignment="1">
      <alignment horizontal="center" vertical="center"/>
    </xf>
    <xf numFmtId="172" fontId="6" fillId="0" borderId="0" xfId="1" applyNumberFormat="1" applyFont="1" applyFill="1" applyBorder="1" applyAlignment="1">
      <alignment horizontal="center" vertical="center"/>
    </xf>
    <xf numFmtId="172" fontId="2" fillId="0" borderId="0" xfId="1" applyNumberFormat="1" applyFont="1" applyBorder="1" applyAlignment="1"/>
    <xf numFmtId="172" fontId="2" fillId="0" borderId="3" xfId="1" applyNumberFormat="1" applyFont="1" applyBorder="1" applyAlignment="1"/>
    <xf numFmtId="172" fontId="5" fillId="0" borderId="0" xfId="1" applyNumberFormat="1" applyFont="1" applyBorder="1" applyAlignment="1">
      <alignment vertical="center"/>
    </xf>
    <xf numFmtId="172" fontId="2" fillId="0" borderId="0" xfId="1" applyNumberFormat="1" applyFont="1" applyBorder="1"/>
    <xf numFmtId="172" fontId="18" fillId="2" borderId="0" xfId="1" applyNumberFormat="1" applyFont="1" applyFill="1" applyBorder="1" applyAlignment="1"/>
    <xf numFmtId="172" fontId="5" fillId="0" borderId="0" xfId="1" applyNumberFormat="1" applyFont="1" applyFill="1" applyBorder="1" applyAlignment="1"/>
    <xf numFmtId="172" fontId="11" fillId="0" borderId="0" xfId="1" applyNumberFormat="1" applyFont="1" applyFill="1"/>
    <xf numFmtId="172" fontId="2" fillId="0" borderId="0" xfId="1" applyNumberFormat="1" applyFont="1" applyFill="1" applyBorder="1" applyAlignment="1"/>
    <xf numFmtId="172" fontId="2" fillId="0" borderId="3" xfId="1" applyNumberFormat="1" applyFont="1" applyFill="1" applyBorder="1" applyAlignment="1"/>
    <xf numFmtId="49" fontId="11" fillId="0" borderId="0" xfId="0" applyNumberFormat="1" applyFont="1" applyFill="1" applyAlignment="1">
      <alignment horizontal="right" vertical="top"/>
    </xf>
    <xf numFmtId="0" fontId="2" fillId="0" borderId="0" xfId="0" applyFont="1" applyFill="1" applyAlignment="1">
      <alignment vertical="top" wrapText="1"/>
    </xf>
    <xf numFmtId="171" fontId="2" fillId="0" borderId="0" xfId="1" applyNumberFormat="1" applyFont="1" applyFill="1" applyBorder="1" applyAlignment="1">
      <alignment horizontal="left"/>
    </xf>
    <xf numFmtId="0" fontId="11" fillId="0" borderId="0" xfId="0" applyFont="1" applyFill="1" applyAlignment="1">
      <alignment vertical="top"/>
    </xf>
    <xf numFmtId="165" fontId="11" fillId="0" borderId="0" xfId="1" applyNumberFormat="1" applyFont="1" applyFill="1" applyAlignment="1">
      <alignment vertical="top"/>
    </xf>
    <xf numFmtId="0" fontId="2" fillId="0" borderId="0" xfId="0" applyFont="1" applyFill="1" applyAlignment="1">
      <alignment horizontal="left" vertical="top" wrapText="1"/>
    </xf>
    <xf numFmtId="0" fontId="21" fillId="0" borderId="0" xfId="0" applyFont="1" applyFill="1" applyBorder="1" applyAlignment="1">
      <alignment horizontal="left" wrapText="1"/>
    </xf>
    <xf numFmtId="0" fontId="20" fillId="0" borderId="0" xfId="0" applyFont="1" applyFill="1"/>
    <xf numFmtId="49" fontId="20" fillId="0" borderId="0" xfId="0" applyNumberFormat="1" applyFont="1" applyFill="1" applyBorder="1" applyAlignment="1">
      <alignment horizontal="justify" wrapText="1"/>
    </xf>
    <xf numFmtId="1" fontId="22" fillId="0" borderId="0" xfId="0" applyNumberFormat="1" applyFont="1" applyFill="1" applyBorder="1" applyAlignment="1">
      <alignment horizontal="center" wrapText="1"/>
    </xf>
    <xf numFmtId="165" fontId="11" fillId="0" borderId="0" xfId="0" applyNumberFormat="1" applyFont="1" applyFill="1" applyAlignment="1">
      <alignment horizontal="left" vertical="center" wrapText="1" indent="1"/>
    </xf>
    <xf numFmtId="49" fontId="11" fillId="0" borderId="0" xfId="0" applyNumberFormat="1" applyFont="1" applyFill="1" applyAlignment="1">
      <alignment vertical="top"/>
    </xf>
    <xf numFmtId="3" fontId="11" fillId="0" borderId="0" xfId="0" applyNumberFormat="1" applyFont="1"/>
    <xf numFmtId="165" fontId="2" fillId="0" borderId="0" xfId="1" applyNumberFormat="1" applyFont="1" applyBorder="1" applyAlignment="1"/>
    <xf numFmtId="165" fontId="2" fillId="0" borderId="3" xfId="1" applyNumberFormat="1" applyFont="1" applyBorder="1" applyAlignment="1"/>
    <xf numFmtId="49" fontId="15" fillId="0" borderId="0" xfId="0" applyNumberFormat="1" applyFont="1" applyAlignment="1">
      <alignment vertical="top"/>
    </xf>
    <xf numFmtId="165" fontId="11" fillId="0" borderId="0" xfId="0" applyNumberFormat="1" applyFont="1"/>
    <xf numFmtId="164" fontId="11" fillId="0" borderId="0" xfId="1" applyNumberFormat="1" applyFont="1"/>
    <xf numFmtId="177" fontId="2" fillId="0" borderId="0" xfId="1" applyNumberFormat="1" applyFont="1" applyBorder="1" applyAlignment="1">
      <alignment horizontal="center"/>
    </xf>
    <xf numFmtId="177" fontId="2" fillId="0" borderId="0" xfId="1" applyNumberFormat="1" applyFont="1" applyFill="1" applyBorder="1" applyAlignment="1">
      <alignment horizontal="center"/>
    </xf>
    <xf numFmtId="177" fontId="11" fillId="0" borderId="0" xfId="1" applyNumberFormat="1" applyFont="1"/>
    <xf numFmtId="164" fontId="11" fillId="0" borderId="0" xfId="1" applyNumberFormat="1" applyFont="1" applyFill="1"/>
    <xf numFmtId="0" fontId="11" fillId="0" borderId="0" xfId="0" applyFont="1" applyFill="1" applyBorder="1"/>
    <xf numFmtId="0" fontId="11" fillId="0" borderId="0" xfId="0" applyFont="1" applyFill="1" applyBorder="1" applyAlignment="1">
      <alignment horizontal="right" vertical="top"/>
    </xf>
    <xf numFmtId="0" fontId="2" fillId="0" borderId="0" xfId="0" applyFont="1" applyFill="1" applyBorder="1" applyAlignment="1">
      <alignment horizontal="left" vertical="center" wrapText="1" indent="1"/>
    </xf>
    <xf numFmtId="164" fontId="11" fillId="0" borderId="0" xfId="1" applyFont="1" applyFill="1"/>
    <xf numFmtId="164" fontId="2" fillId="0" borderId="0" xfId="1" applyFont="1" applyFill="1" applyBorder="1" applyAlignment="1">
      <alignment horizontal="center"/>
    </xf>
    <xf numFmtId="164" fontId="11" fillId="0" borderId="0" xfId="1" applyFont="1" applyFill="1" applyAlignment="1">
      <alignment horizontal="right"/>
    </xf>
    <xf numFmtId="174" fontId="11" fillId="0" borderId="0" xfId="1" applyNumberFormat="1" applyFont="1" applyFill="1" applyAlignment="1">
      <alignment horizontal="right"/>
    </xf>
    <xf numFmtId="178" fontId="11" fillId="0" borderId="0" xfId="0" applyNumberFormat="1" applyFont="1"/>
    <xf numFmtId="0" fontId="13" fillId="0" borderId="0" xfId="0" applyFont="1" applyFill="1"/>
    <xf numFmtId="176" fontId="16" fillId="0" borderId="0" xfId="0" applyNumberFormat="1" applyFont="1" applyFill="1"/>
    <xf numFmtId="165" fontId="11" fillId="0" borderId="0" xfId="1" applyNumberFormat="1" applyFont="1" applyFill="1" applyBorder="1"/>
    <xf numFmtId="0" fontId="13" fillId="0" borderId="0" xfId="0" quotePrefix="1" applyFont="1" applyFill="1" applyAlignment="1">
      <alignment horizontal="center" vertical="center" wrapText="1"/>
    </xf>
    <xf numFmtId="1" fontId="6" fillId="2" borderId="0" xfId="0" quotePrefix="1" applyNumberFormat="1" applyFont="1" applyFill="1" applyBorder="1" applyAlignment="1">
      <alignment horizontal="center" vertical="center"/>
    </xf>
    <xf numFmtId="49" fontId="11" fillId="0" borderId="0" xfId="0" applyNumberFormat="1" applyFont="1" applyFill="1" applyAlignment="1">
      <alignment vertical="top"/>
    </xf>
    <xf numFmtId="0" fontId="13" fillId="0" borderId="0" xfId="0" applyFont="1" applyFill="1" applyBorder="1" applyAlignment="1">
      <alignment horizontal="center" vertical="center" wrapText="1"/>
    </xf>
    <xf numFmtId="170" fontId="11" fillId="0" borderId="0" xfId="0" applyNumberFormat="1" applyFont="1" applyFill="1"/>
    <xf numFmtId="0" fontId="13" fillId="0" borderId="3" xfId="0" quotePrefix="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0" xfId="0" applyFont="1" applyFill="1" applyAlignment="1">
      <alignment horizontal="left" vertical="top" wrapText="1"/>
    </xf>
    <xf numFmtId="0" fontId="11" fillId="0" borderId="0" xfId="0" applyFont="1" applyFill="1" applyAlignment="1">
      <alignment horizontal="left" vertical="top" wrapText="1"/>
    </xf>
    <xf numFmtId="0" fontId="11" fillId="4" borderId="0" xfId="0" quotePrefix="1" applyFont="1" applyFill="1" applyAlignment="1">
      <alignment horizontal="left" vertical="top" wrapText="1"/>
    </xf>
    <xf numFmtId="0" fontId="11" fillId="4" borderId="0" xfId="0" applyFont="1" applyFill="1" applyAlignment="1">
      <alignment horizontal="left" vertical="top" wrapText="1"/>
    </xf>
    <xf numFmtId="0" fontId="13" fillId="0" borderId="0" xfId="0" applyFont="1" applyFill="1" applyBorder="1" applyAlignment="1">
      <alignment horizontal="center" vertical="center" wrapText="1"/>
    </xf>
    <xf numFmtId="168" fontId="13" fillId="0" borderId="0" xfId="0" applyNumberFormat="1" applyFont="1" applyBorder="1" applyAlignment="1">
      <alignment horizontal="center" vertical="center" wrapText="1"/>
    </xf>
  </cellXfs>
  <cellStyles count="7">
    <cellStyle name="Comma 2 2" xfId="2"/>
    <cellStyle name="Comma 2 3" xfId="3"/>
    <cellStyle name="Comma 7" xfId="4"/>
    <cellStyle name="Millares" xfId="1" builtinId="3"/>
    <cellStyle name="Normal" xfId="0" builtinId="0"/>
    <cellStyle name="Normal 2"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AO62"/>
  <sheetViews>
    <sheetView showGridLines="0" tabSelected="1" zoomScale="85" zoomScaleNormal="85" zoomScaleSheetLayoutView="85" workbookViewId="0">
      <pane ySplit="10" topLeftCell="A11" activePane="bottomLeft" state="frozen"/>
      <selection activeCell="I7" sqref="I7"/>
      <selection pane="bottomLeft" activeCell="J24" sqref="J24"/>
    </sheetView>
  </sheetViews>
  <sheetFormatPr baseColWidth="10" defaultColWidth="11.42578125" defaultRowHeight="15" outlineLevelRow="1" outlineLevelCol="1" x14ac:dyDescent="0.25"/>
  <cols>
    <col min="1" max="1" width="3.42578125" style="5" customWidth="1"/>
    <col min="2" max="2" width="74.5703125" style="3" bestFit="1" customWidth="1"/>
    <col min="3" max="3" width="3.5703125" style="3" customWidth="1"/>
    <col min="4" max="5" width="14.85546875" style="3" customWidth="1"/>
    <col min="6" max="6" width="14.85546875" style="3" customWidth="1" outlineLevel="1"/>
    <col min="7" max="7" width="13.85546875" style="3" customWidth="1" outlineLevel="1"/>
    <col min="8" max="8" width="14" style="3" customWidth="1" outlineLevel="1"/>
    <col min="9" max="9" width="12.7109375" style="3" customWidth="1" outlineLevel="1"/>
    <col min="10" max="10" width="14" style="3" customWidth="1"/>
    <col min="11" max="12" width="14.42578125" style="8" customWidth="1" outlineLevel="1"/>
    <col min="13" max="14" width="14.42578125" style="12" customWidth="1" outlineLevel="1"/>
    <col min="15" max="15" width="14" style="12" customWidth="1"/>
    <col min="16" max="17" width="14.42578125" style="3" customWidth="1" outlineLevel="1"/>
    <col min="18" max="19" width="14.42578125" style="4" customWidth="1" outlineLevel="1"/>
    <col min="20" max="20" width="14" style="4" customWidth="1"/>
    <col min="21" max="22" width="14.42578125" style="3" customWidth="1" outlineLevel="1"/>
    <col min="23" max="24" width="14.42578125" style="4" customWidth="1" outlineLevel="1"/>
    <col min="25" max="25" width="14" style="4" customWidth="1"/>
    <col min="26" max="29" width="14.42578125" style="12" customWidth="1" outlineLevel="1"/>
    <col min="30" max="30" width="14" style="12" customWidth="1"/>
    <col min="31" max="34" width="14.42578125" style="12" customWidth="1" outlineLevel="1"/>
    <col min="35" max="35" width="14" style="4" customWidth="1"/>
    <col min="36" max="36" width="14" style="4" customWidth="1" outlineLevel="1"/>
    <col min="37" max="40" width="14.42578125" style="4" customWidth="1" outlineLevel="1"/>
    <col min="41" max="16384" width="11.42578125" style="3"/>
  </cols>
  <sheetData>
    <row r="1" spans="1:41" ht="15.75" x14ac:dyDescent="0.25">
      <c r="A1" s="1" t="s">
        <v>0</v>
      </c>
      <c r="B1" s="2"/>
      <c r="K1" s="12"/>
      <c r="L1" s="12"/>
      <c r="P1" s="4"/>
      <c r="Q1" s="4"/>
      <c r="U1" s="4"/>
      <c r="V1" s="4"/>
      <c r="Y1" s="12"/>
      <c r="AI1" s="12"/>
      <c r="AJ1" s="12"/>
      <c r="AK1" s="12"/>
      <c r="AL1" s="12"/>
      <c r="AM1" s="12"/>
      <c r="AN1" s="12"/>
      <c r="AO1" s="8"/>
    </row>
    <row r="2" spans="1:41" ht="15.75" x14ac:dyDescent="0.25">
      <c r="A2" s="1"/>
      <c r="B2" s="169" t="s">
        <v>194</v>
      </c>
      <c r="C2" s="8"/>
      <c r="D2" s="8"/>
      <c r="E2" s="8"/>
      <c r="F2" s="8"/>
      <c r="G2" s="8"/>
      <c r="H2" s="8"/>
      <c r="I2" s="8"/>
      <c r="J2" s="8"/>
      <c r="K2" s="12"/>
      <c r="L2" s="12"/>
      <c r="P2" s="4"/>
      <c r="Q2" s="4"/>
      <c r="U2" s="4"/>
      <c r="V2" s="4"/>
      <c r="Y2" s="12"/>
      <c r="AI2" s="12"/>
      <c r="AJ2" s="12"/>
      <c r="AK2" s="12"/>
      <c r="AL2" s="12"/>
      <c r="AM2" s="12"/>
      <c r="AN2" s="12"/>
      <c r="AO2" s="8"/>
    </row>
    <row r="3" spans="1:41" ht="15.75" x14ac:dyDescent="0.25">
      <c r="A3" s="1"/>
      <c r="B3" s="169" t="s">
        <v>195</v>
      </c>
      <c r="C3" s="8"/>
      <c r="D3" s="8"/>
      <c r="E3" s="8"/>
      <c r="F3" s="8"/>
      <c r="G3" s="8"/>
      <c r="H3" s="8"/>
      <c r="I3" s="8"/>
      <c r="J3" s="8"/>
      <c r="K3" s="12"/>
      <c r="L3" s="12"/>
      <c r="P3" s="4"/>
      <c r="Q3" s="4"/>
      <c r="U3" s="4"/>
      <c r="V3" s="4"/>
      <c r="Y3" s="12"/>
      <c r="AI3" s="12"/>
      <c r="AJ3" s="12"/>
      <c r="AK3" s="12"/>
      <c r="AL3" s="12"/>
      <c r="AM3" s="12"/>
      <c r="AN3" s="12"/>
      <c r="AO3" s="8"/>
    </row>
    <row r="4" spans="1:41" ht="15.75" x14ac:dyDescent="0.25">
      <c r="A4" s="1"/>
      <c r="B4" s="145" t="s">
        <v>178</v>
      </c>
      <c r="C4" s="8"/>
      <c r="D4" s="8"/>
      <c r="E4" s="8"/>
      <c r="F4" s="8"/>
      <c r="G4" s="8"/>
      <c r="H4" s="8"/>
      <c r="I4" s="8"/>
      <c r="J4" s="8"/>
      <c r="K4" s="12"/>
      <c r="L4" s="12"/>
      <c r="P4" s="4"/>
      <c r="Q4" s="4"/>
      <c r="U4" s="4"/>
      <c r="V4" s="4"/>
      <c r="Y4" s="12"/>
      <c r="AI4" s="12"/>
      <c r="AJ4" s="12"/>
      <c r="AK4" s="12"/>
      <c r="AL4" s="12"/>
      <c r="AM4" s="12"/>
      <c r="AN4" s="12"/>
      <c r="AO4" s="8"/>
    </row>
    <row r="5" spans="1:41" ht="15.75" x14ac:dyDescent="0.25">
      <c r="A5" s="1"/>
      <c r="B5" s="145" t="s">
        <v>179</v>
      </c>
      <c r="C5" s="8"/>
      <c r="D5" s="8"/>
      <c r="E5" s="8"/>
      <c r="F5" s="8"/>
      <c r="G5" s="8"/>
      <c r="H5" s="8"/>
      <c r="I5" s="8"/>
      <c r="J5" s="8"/>
      <c r="K5" s="12"/>
      <c r="L5" s="12"/>
      <c r="P5" s="4"/>
      <c r="Q5" s="4"/>
      <c r="U5" s="4"/>
      <c r="V5" s="4"/>
      <c r="Y5" s="12"/>
      <c r="AI5" s="12"/>
      <c r="AJ5" s="12"/>
      <c r="AK5" s="12"/>
      <c r="AL5" s="12"/>
      <c r="AM5" s="12"/>
      <c r="AN5" s="12"/>
      <c r="AO5" s="8"/>
    </row>
    <row r="6" spans="1:41" x14ac:dyDescent="0.25">
      <c r="B6" s="8" t="s">
        <v>180</v>
      </c>
      <c r="C6" s="8"/>
      <c r="D6" s="8"/>
      <c r="E6" s="8"/>
      <c r="F6" s="8"/>
      <c r="G6" s="171"/>
      <c r="H6" s="8"/>
      <c r="I6" s="8"/>
      <c r="J6" s="8"/>
      <c r="K6" s="12"/>
      <c r="L6" s="12"/>
      <c r="P6" s="4"/>
      <c r="Q6" s="4"/>
      <c r="U6" s="4"/>
      <c r="V6" s="4"/>
      <c r="Y6" s="12"/>
      <c r="AI6" s="12"/>
      <c r="AJ6" s="12"/>
      <c r="AK6" s="12"/>
      <c r="AL6" s="12"/>
      <c r="AM6" s="12"/>
      <c r="AN6" s="12"/>
      <c r="AO6" s="8"/>
    </row>
    <row r="7" spans="1:41" x14ac:dyDescent="0.25">
      <c r="B7" s="8" t="s">
        <v>181</v>
      </c>
      <c r="C7" s="8"/>
      <c r="D7" s="8"/>
      <c r="E7" s="8"/>
      <c r="F7" s="8"/>
      <c r="G7" s="8"/>
      <c r="H7" s="8"/>
      <c r="I7" s="8"/>
      <c r="J7" s="8"/>
      <c r="K7" s="12"/>
      <c r="L7" s="12"/>
      <c r="P7" s="4"/>
      <c r="Q7" s="4"/>
      <c r="U7" s="4"/>
      <c r="V7" s="4"/>
      <c r="Y7" s="12"/>
      <c r="AI7" s="12"/>
      <c r="AJ7" s="12"/>
      <c r="AK7" s="12"/>
      <c r="AL7" s="12"/>
      <c r="AM7" s="12"/>
      <c r="AN7" s="12"/>
      <c r="AO7" s="8"/>
    </row>
    <row r="8" spans="1:41" ht="15" customHeight="1" x14ac:dyDescent="0.25">
      <c r="B8" s="7" t="s">
        <v>1</v>
      </c>
      <c r="C8" s="12"/>
      <c r="D8" s="166"/>
      <c r="E8" s="166"/>
      <c r="F8" s="12"/>
      <c r="G8" s="12"/>
      <c r="H8" s="12"/>
      <c r="I8" s="12"/>
      <c r="J8" s="12"/>
      <c r="K8" s="12"/>
      <c r="L8" s="12"/>
      <c r="P8" s="4"/>
      <c r="Q8" s="4"/>
      <c r="T8" s="173" t="s">
        <v>2</v>
      </c>
      <c r="U8" s="173"/>
      <c r="V8" s="173"/>
      <c r="W8" s="173"/>
      <c r="X8" s="173"/>
      <c r="Y8" s="173"/>
      <c r="Z8" s="173"/>
      <c r="AA8" s="173"/>
      <c r="AB8" s="173"/>
      <c r="AC8" s="173"/>
      <c r="AD8" s="173"/>
      <c r="AE8" s="173"/>
      <c r="AF8" s="173"/>
      <c r="AG8" s="173"/>
      <c r="AH8" s="173"/>
      <c r="AI8" s="173"/>
      <c r="AJ8" s="173"/>
      <c r="AK8" s="173"/>
      <c r="AL8" s="173"/>
      <c r="AM8" s="173"/>
      <c r="AN8" s="173"/>
      <c r="AO8" s="8"/>
    </row>
    <row r="9" spans="1:41" s="8" customFormat="1" x14ac:dyDescent="0.25">
      <c r="A9" s="6"/>
      <c r="B9" s="7" t="s">
        <v>3</v>
      </c>
      <c r="D9" s="170" t="s">
        <v>185</v>
      </c>
      <c r="E9" s="121" t="s">
        <v>196</v>
      </c>
      <c r="F9" s="121" t="s">
        <v>173</v>
      </c>
      <c r="G9" s="121" t="s">
        <v>197</v>
      </c>
      <c r="H9" s="121" t="s">
        <v>198</v>
      </c>
      <c r="I9" s="172" t="s">
        <v>199</v>
      </c>
      <c r="J9" s="121" t="s">
        <v>175</v>
      </c>
      <c r="K9" s="121" t="s">
        <v>155</v>
      </c>
      <c r="L9" s="121" t="s">
        <v>154</v>
      </c>
      <c r="M9" s="121" t="s">
        <v>153</v>
      </c>
      <c r="N9" s="121" t="s">
        <v>152</v>
      </c>
      <c r="O9" s="121" t="s">
        <v>169</v>
      </c>
      <c r="P9" s="121" t="s">
        <v>138</v>
      </c>
      <c r="Q9" s="121" t="s">
        <v>139</v>
      </c>
      <c r="R9" s="121" t="s">
        <v>140</v>
      </c>
      <c r="S9" s="121" t="s">
        <v>141</v>
      </c>
      <c r="T9" s="9" t="s">
        <v>156</v>
      </c>
      <c r="U9" s="121" t="s">
        <v>120</v>
      </c>
      <c r="V9" s="121" t="s">
        <v>121</v>
      </c>
      <c r="W9" s="121" t="s">
        <v>122</v>
      </c>
      <c r="X9" s="121" t="s">
        <v>123</v>
      </c>
      <c r="Y9" s="9" t="s">
        <v>183</v>
      </c>
      <c r="Z9" s="9" t="s">
        <v>103</v>
      </c>
      <c r="AA9" s="9" t="s">
        <v>104</v>
      </c>
      <c r="AB9" s="9" t="s">
        <v>105</v>
      </c>
      <c r="AC9" s="9" t="s">
        <v>102</v>
      </c>
      <c r="AD9" s="9" t="s">
        <v>184</v>
      </c>
      <c r="AE9" s="9" t="s">
        <v>99</v>
      </c>
      <c r="AF9" s="9" t="s">
        <v>4</v>
      </c>
      <c r="AG9" s="9" t="s">
        <v>5</v>
      </c>
      <c r="AH9" s="9" t="s">
        <v>6</v>
      </c>
      <c r="AI9" s="9" t="s">
        <v>170</v>
      </c>
      <c r="AJ9" s="9">
        <v>2012</v>
      </c>
      <c r="AK9" s="9" t="s">
        <v>171</v>
      </c>
      <c r="AL9" s="9" t="s">
        <v>172</v>
      </c>
      <c r="AM9" s="9">
        <v>2009</v>
      </c>
      <c r="AN9" s="9">
        <v>2008</v>
      </c>
    </row>
    <row r="10" spans="1:41" s="8" customFormat="1" x14ac:dyDescent="0.25">
      <c r="A10" s="6"/>
      <c r="B10" s="10" t="s">
        <v>7</v>
      </c>
      <c r="K10" s="156"/>
      <c r="L10" s="156"/>
      <c r="M10" s="156"/>
      <c r="N10" s="156"/>
      <c r="O10" s="156"/>
      <c r="Z10" s="117"/>
      <c r="AA10" s="117"/>
      <c r="AB10" s="117"/>
      <c r="AC10" s="117"/>
      <c r="AE10" s="117"/>
      <c r="AF10" s="117"/>
      <c r="AG10" s="117"/>
      <c r="AH10" s="117"/>
    </row>
    <row r="11" spans="1:41" s="8" customFormat="1" x14ac:dyDescent="0.25">
      <c r="A11" s="6"/>
      <c r="B11" s="11"/>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row>
    <row r="12" spans="1:41" s="8" customFormat="1" x14ac:dyDescent="0.25">
      <c r="A12" s="6"/>
      <c r="B12" s="10" t="s">
        <v>8</v>
      </c>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4"/>
      <c r="AL12" s="14"/>
      <c r="AM12" s="14"/>
      <c r="AN12" s="14"/>
    </row>
    <row r="13" spans="1:41" s="8" customFormat="1" x14ac:dyDescent="0.25">
      <c r="A13" s="6"/>
      <c r="B13" s="11" t="s">
        <v>9</v>
      </c>
      <c r="D13" s="15">
        <v>2813388.92</v>
      </c>
      <c r="E13" s="15">
        <v>2785310.08</v>
      </c>
      <c r="F13" s="15">
        <v>2636129.89</v>
      </c>
      <c r="G13" s="15">
        <v>2999230.84</v>
      </c>
      <c r="H13" s="15">
        <v>3022434.6</v>
      </c>
      <c r="I13" s="15">
        <v>2797011.86</v>
      </c>
      <c r="J13" s="15">
        <v>11454807</v>
      </c>
      <c r="K13" s="15">
        <v>2767507.7948033148</v>
      </c>
      <c r="L13" s="15">
        <v>2535024.0328699998</v>
      </c>
      <c r="M13" s="15">
        <v>2322655.8844300001</v>
      </c>
      <c r="N13" s="15">
        <v>2075108.0685700004</v>
      </c>
      <c r="O13" s="15">
        <v>9700295.7806733139</v>
      </c>
      <c r="P13" s="15">
        <v>1849581.3584399994</v>
      </c>
      <c r="Q13" s="15">
        <v>1856051.0860500005</v>
      </c>
      <c r="R13" s="15">
        <v>1862840.5929300003</v>
      </c>
      <c r="S13" s="15">
        <v>1655501.86195</v>
      </c>
      <c r="T13" s="15">
        <v>7223974.8993699998</v>
      </c>
      <c r="U13" s="15">
        <v>1809948.1608899988</v>
      </c>
      <c r="V13" s="15">
        <v>1945354.5084200012</v>
      </c>
      <c r="W13" s="15">
        <v>1996070.7596699994</v>
      </c>
      <c r="X13" s="15">
        <v>2126074.6432599998</v>
      </c>
      <c r="Y13" s="15">
        <v>7877449.0722399997</v>
      </c>
      <c r="Z13" s="15">
        <v>2154576.1746953758</v>
      </c>
      <c r="AA13" s="15">
        <v>2218345.8133097393</v>
      </c>
      <c r="AB13" s="15">
        <v>2203742.2529346677</v>
      </c>
      <c r="AC13" s="15">
        <v>2149392.6537625086</v>
      </c>
      <c r="AD13" s="15">
        <v>8726056.8947022911</v>
      </c>
      <c r="AE13" s="15">
        <v>2116018.66534151</v>
      </c>
      <c r="AF13" s="15">
        <v>2143823.7075655665</v>
      </c>
      <c r="AG13" s="15">
        <v>2134439.6762292553</v>
      </c>
      <c r="AH13" s="15">
        <v>2135730.3681798498</v>
      </c>
      <c r="AI13" s="15">
        <v>8530012.4173161816</v>
      </c>
      <c r="AJ13" s="15">
        <v>8608054.2064100001</v>
      </c>
      <c r="AK13" s="15">
        <v>9122832.2984524891</v>
      </c>
      <c r="AL13" s="15">
        <v>7339901.1804575445</v>
      </c>
      <c r="AM13" s="15">
        <v>4922983.8964603506</v>
      </c>
      <c r="AN13" s="15">
        <v>8422816.7369249146</v>
      </c>
    </row>
    <row r="14" spans="1:41" s="8" customFormat="1" x14ac:dyDescent="0.25">
      <c r="A14" s="6"/>
      <c r="B14" s="11" t="s">
        <v>10</v>
      </c>
      <c r="D14" s="16">
        <v>-2325047.3199999998</v>
      </c>
      <c r="E14" s="16">
        <v>-2258217.6</v>
      </c>
      <c r="F14" s="16">
        <v>-2059874.37</v>
      </c>
      <c r="G14" s="16">
        <v>-2078289.7</v>
      </c>
      <c r="H14" s="16">
        <v>-2212438.5699999998</v>
      </c>
      <c r="I14" s="16">
        <v>-2132724.92</v>
      </c>
      <c r="J14" s="16">
        <v>-8483328</v>
      </c>
      <c r="K14" s="16">
        <v>-2170931.5484133149</v>
      </c>
      <c r="L14" s="16">
        <v>-1972454.03302</v>
      </c>
      <c r="M14" s="16">
        <v>-1728177.1817700004</v>
      </c>
      <c r="N14" s="16">
        <v>-1531461.9902500003</v>
      </c>
      <c r="O14" s="16">
        <v>-7403025.2534533152</v>
      </c>
      <c r="P14" s="16">
        <v>-1416575.9764799993</v>
      </c>
      <c r="Q14" s="16">
        <v>-1291277.5549999999</v>
      </c>
      <c r="R14" s="16">
        <v>-1389727.3167900003</v>
      </c>
      <c r="S14" s="16">
        <v>-1286808.6470499998</v>
      </c>
      <c r="T14" s="16">
        <v>-5384389.9953199998</v>
      </c>
      <c r="U14" s="16">
        <v>-1438376.2015599997</v>
      </c>
      <c r="V14" s="16">
        <v>-1620841.8208300003</v>
      </c>
      <c r="W14" s="16">
        <v>-1689750.8940099999</v>
      </c>
      <c r="X14" s="16">
        <v>-1728303.4358100006</v>
      </c>
      <c r="Y14" s="16">
        <v>-6477272.3522100002</v>
      </c>
      <c r="Z14" s="16">
        <v>-1765054.6471017031</v>
      </c>
      <c r="AA14" s="16">
        <v>-1759725.6066586985</v>
      </c>
      <c r="AB14" s="16">
        <v>-1763013.426834323</v>
      </c>
      <c r="AC14" s="16">
        <v>-1637374.6579091598</v>
      </c>
      <c r="AD14" s="16">
        <v>-6925169.3385038832</v>
      </c>
      <c r="AE14" s="16">
        <v>-1610214.4604593806</v>
      </c>
      <c r="AF14" s="16">
        <v>-1679193.5048691321</v>
      </c>
      <c r="AG14" s="16">
        <v>-1653787.5395701053</v>
      </c>
      <c r="AH14" s="16">
        <v>-1657096.2885843485</v>
      </c>
      <c r="AI14" s="16">
        <v>-6600292.1934829652</v>
      </c>
      <c r="AJ14" s="16">
        <v>-6866379.4092121497</v>
      </c>
      <c r="AK14" s="16">
        <v>-7016321.6919887019</v>
      </c>
      <c r="AL14" s="16">
        <v>-5560201.458978463</v>
      </c>
      <c r="AM14" s="16">
        <v>-4087165.493370296</v>
      </c>
      <c r="AN14" s="16">
        <v>-6098790.3536633532</v>
      </c>
    </row>
    <row r="15" spans="1:41" s="8" customFormat="1" ht="5.0999999999999996" customHeight="1" x14ac:dyDescent="0.25">
      <c r="A15" s="6"/>
      <c r="B15" s="11"/>
      <c r="D15" s="15"/>
      <c r="E15" s="15"/>
      <c r="F15" s="15"/>
      <c r="G15" s="15"/>
      <c r="H15" s="15"/>
      <c r="I15" s="15"/>
      <c r="J15" s="15"/>
      <c r="K15" s="15"/>
      <c r="L15" s="15">
        <f>0</f>
        <v>0</v>
      </c>
      <c r="M15" s="15"/>
      <c r="N15" s="15"/>
      <c r="O15" s="15"/>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F15" s="15">
        <v>0</v>
      </c>
      <c r="AG15" s="15">
        <v>0</v>
      </c>
      <c r="AH15" s="15">
        <v>0</v>
      </c>
      <c r="AI15" s="15">
        <v>0</v>
      </c>
      <c r="AJ15" s="15">
        <v>0</v>
      </c>
      <c r="AK15" s="15">
        <v>0</v>
      </c>
      <c r="AL15" s="15">
        <v>0</v>
      </c>
      <c r="AM15" s="15">
        <v>0</v>
      </c>
      <c r="AN15" s="15">
        <v>0</v>
      </c>
    </row>
    <row r="16" spans="1:41" s="8" customFormat="1" x14ac:dyDescent="0.25">
      <c r="A16" s="6"/>
      <c r="B16" s="11" t="s">
        <v>11</v>
      </c>
      <c r="D16" s="15">
        <f t="shared" ref="D16:E16" si="0">+SUM(D13:D14)</f>
        <v>488341.60000000009</v>
      </c>
      <c r="E16" s="15">
        <f t="shared" si="0"/>
        <v>527092.47999999998</v>
      </c>
      <c r="F16" s="15">
        <v>576255.52</v>
      </c>
      <c r="G16" s="15">
        <v>920941.13</v>
      </c>
      <c r="H16" s="15">
        <v>809996.04</v>
      </c>
      <c r="I16" s="15">
        <v>664286.93999999994</v>
      </c>
      <c r="J16" s="15">
        <f t="shared" ref="J16:M16" si="1">+SUM(J13:J14)</f>
        <v>2971479</v>
      </c>
      <c r="K16" s="15">
        <f t="shared" si="1"/>
        <v>596576.24638999999</v>
      </c>
      <c r="L16" s="15">
        <f t="shared" si="1"/>
        <v>562569.99984999979</v>
      </c>
      <c r="M16" s="15">
        <f t="shared" si="1"/>
        <v>594478.70265999972</v>
      </c>
      <c r="N16" s="15">
        <f t="shared" ref="N16:O16" si="2">+SUM(N13:N14)</f>
        <v>543646.07832000009</v>
      </c>
      <c r="O16" s="15">
        <f t="shared" si="2"/>
        <v>2297270.5272199987</v>
      </c>
      <c r="P16" s="15">
        <v>433005.38196000014</v>
      </c>
      <c r="Q16" s="15">
        <v>564772.53105000057</v>
      </c>
      <c r="R16" s="15">
        <v>473114.27613999997</v>
      </c>
      <c r="S16" s="15">
        <v>368693.21490000025</v>
      </c>
      <c r="T16" s="15">
        <v>1839584.90405</v>
      </c>
      <c r="U16" s="15">
        <v>371571.95932999905</v>
      </c>
      <c r="V16" s="15">
        <v>324512.68759000092</v>
      </c>
      <c r="W16" s="15">
        <v>306319.86565999943</v>
      </c>
      <c r="X16" s="15">
        <v>397772.20744999917</v>
      </c>
      <c r="Y16" s="15">
        <v>1400176.7200299995</v>
      </c>
      <c r="Z16" s="15">
        <v>389520.52759367274</v>
      </c>
      <c r="AA16" s="15">
        <v>458620.20665104082</v>
      </c>
      <c r="AB16" s="15">
        <v>440728.82610034477</v>
      </c>
      <c r="AC16" s="15">
        <v>512017.99585334887</v>
      </c>
      <c r="AD16" s="15">
        <v>1800887.5561984079</v>
      </c>
      <c r="AE16" s="15">
        <v>505804.20488212933</v>
      </c>
      <c r="AF16" s="15">
        <v>464630.20269643445</v>
      </c>
      <c r="AG16" s="15">
        <v>480652.13665915001</v>
      </c>
      <c r="AH16" s="15">
        <v>478634.0795955013</v>
      </c>
      <c r="AI16" s="15">
        <v>1929720.2238332164</v>
      </c>
      <c r="AJ16" s="15">
        <v>1741674.7971978504</v>
      </c>
      <c r="AK16" s="15">
        <v>2106509.6064637871</v>
      </c>
      <c r="AL16" s="15">
        <v>1779699.7214790815</v>
      </c>
      <c r="AM16" s="15">
        <v>835819.40309005463</v>
      </c>
      <c r="AN16" s="15">
        <v>2324027.3832615614</v>
      </c>
    </row>
    <row r="17" spans="1:40" s="8" customFormat="1" ht="15" customHeight="1" x14ac:dyDescent="0.25">
      <c r="A17" s="6"/>
      <c r="B17" s="11" t="s">
        <v>12</v>
      </c>
      <c r="D17" s="15">
        <v>-250443.18</v>
      </c>
      <c r="E17" s="15">
        <v>-225164.23</v>
      </c>
      <c r="F17" s="15">
        <v>-202024.86</v>
      </c>
      <c r="G17" s="15">
        <v>-216917.38</v>
      </c>
      <c r="H17" s="15">
        <v>-233992.05</v>
      </c>
      <c r="I17" s="15">
        <v>-223829.36</v>
      </c>
      <c r="J17" s="15">
        <v>-876764</v>
      </c>
      <c r="K17" s="15">
        <v>-251674.91337999998</v>
      </c>
      <c r="L17" s="15">
        <v>-211249.38266</v>
      </c>
      <c r="M17" s="15">
        <v>-189048.40997000001</v>
      </c>
      <c r="N17" s="15">
        <v>-172275.49909999999</v>
      </c>
      <c r="O17" s="15">
        <v>-824247.2051100001</v>
      </c>
      <c r="P17" s="15">
        <v>-175464.00129999997</v>
      </c>
      <c r="Q17" s="15">
        <v>-168442.32033000002</v>
      </c>
      <c r="R17" s="15">
        <v>-180020.11203999998</v>
      </c>
      <c r="S17" s="15">
        <v>-164015.55218000003</v>
      </c>
      <c r="T17" s="15">
        <v>-687942.48584999994</v>
      </c>
      <c r="U17" s="15">
        <v>-180083.85178999999</v>
      </c>
      <c r="V17" s="15">
        <v>-188043.35005999997</v>
      </c>
      <c r="W17" s="15">
        <v>-204798.58025000006</v>
      </c>
      <c r="X17" s="15">
        <v>-197366.39158000005</v>
      </c>
      <c r="Y17" s="15">
        <v>-770291.67368000001</v>
      </c>
      <c r="Z17" s="15">
        <v>-201722.42734631008</v>
      </c>
      <c r="AA17" s="15">
        <v>-206180.47107557731</v>
      </c>
      <c r="AB17" s="15">
        <v>-212975.92749620948</v>
      </c>
      <c r="AC17" s="15">
        <v>-195599.83141383345</v>
      </c>
      <c r="AD17" s="15">
        <v>-816478.15733193036</v>
      </c>
      <c r="AE17" s="15">
        <v>-210441.77165931303</v>
      </c>
      <c r="AF17" s="15">
        <v>-209919.12899152393</v>
      </c>
      <c r="AG17" s="15">
        <v>-215783.86751659302</v>
      </c>
      <c r="AH17" s="15">
        <v>-207165.90267950305</v>
      </c>
      <c r="AI17" s="15">
        <v>-843310.67084693292</v>
      </c>
      <c r="AJ17" s="15">
        <v>-809181.13323553663</v>
      </c>
      <c r="AK17" s="15">
        <v>-839362.38743982115</v>
      </c>
      <c r="AL17" s="15">
        <v>-738303.72826613148</v>
      </c>
      <c r="AM17" s="15">
        <v>-526614.652</v>
      </c>
      <c r="AN17" s="15">
        <v>-663843.34200000006</v>
      </c>
    </row>
    <row r="18" spans="1:40" s="8" customFormat="1" x14ac:dyDescent="0.25">
      <c r="A18" s="6"/>
      <c r="B18" s="11" t="s">
        <v>13</v>
      </c>
      <c r="D18" s="16">
        <v>352.47</v>
      </c>
      <c r="E18" s="16">
        <v>5534.96</v>
      </c>
      <c r="F18" s="16">
        <v>8468.19</v>
      </c>
      <c r="G18" s="16">
        <v>4909.2299999999996</v>
      </c>
      <c r="H18" s="16">
        <v>-5498.75</v>
      </c>
      <c r="I18" s="16">
        <v>5777.37</v>
      </c>
      <c r="J18" s="16">
        <v>13656</v>
      </c>
      <c r="K18" s="16">
        <v>5065.3977500000447</v>
      </c>
      <c r="L18" s="16">
        <v>-1475.9970700000777</v>
      </c>
      <c r="M18" s="16">
        <v>-12609.367130000004</v>
      </c>
      <c r="N18" s="16">
        <v>-7219.9369499999975</v>
      </c>
      <c r="O18" s="16">
        <v>-16240.403400000034</v>
      </c>
      <c r="P18" s="16">
        <v>-10840.702679999999</v>
      </c>
      <c r="Q18" s="16">
        <v>2816.7067299999881</v>
      </c>
      <c r="R18" s="16">
        <v>420.13178000000585</v>
      </c>
      <c r="S18" s="16">
        <v>-2320.6782499999968</v>
      </c>
      <c r="T18" s="16">
        <v>-9925.0424199999998</v>
      </c>
      <c r="U18" s="16">
        <v>134.40096000001904</v>
      </c>
      <c r="V18" s="16">
        <v>4032.4124599999996</v>
      </c>
      <c r="W18" s="16">
        <v>1547.872819999998</v>
      </c>
      <c r="X18" s="16">
        <v>3740.4455299999954</v>
      </c>
      <c r="Y18" s="16">
        <v>9454.1317700000127</v>
      </c>
      <c r="Z18" s="16">
        <v>3480.5806034602215</v>
      </c>
      <c r="AA18" s="16">
        <v>62104.116816265581</v>
      </c>
      <c r="AB18" s="16">
        <v>3595.0770107130329</v>
      </c>
      <c r="AC18" s="16">
        <v>2570.9018024445286</v>
      </c>
      <c r="AD18" s="16">
        <v>71751.176232883357</v>
      </c>
      <c r="AE18" s="16">
        <v>192.35707665399647</v>
      </c>
      <c r="AF18" s="16">
        <v>11344.841385712576</v>
      </c>
      <c r="AG18" s="16">
        <v>11138.85823503032</v>
      </c>
      <c r="AH18" s="16">
        <v>337.87968045791052</v>
      </c>
      <c r="AI18" s="16">
        <v>23013.9363778548</v>
      </c>
      <c r="AJ18" s="16">
        <v>-11880.550069041761</v>
      </c>
      <c r="AK18" s="16">
        <v>-11494.600642348427</v>
      </c>
      <c r="AL18" s="16">
        <v>2162.2181896002958</v>
      </c>
      <c r="AM18" s="16">
        <v>-20556.707315820764</v>
      </c>
      <c r="AN18" s="16">
        <v>8700.0001595165013</v>
      </c>
    </row>
    <row r="19" spans="1:40" s="8" customFormat="1" ht="5.0999999999999996" customHeight="1" x14ac:dyDescent="0.25">
      <c r="A19" s="6"/>
      <c r="B19" s="49"/>
      <c r="D19" s="15"/>
      <c r="E19" s="15"/>
      <c r="F19" s="15"/>
      <c r="G19" s="15"/>
      <c r="H19" s="15"/>
      <c r="I19" s="15"/>
      <c r="J19" s="15"/>
      <c r="K19" s="15"/>
      <c r="L19" s="15">
        <f>0</f>
        <v>0</v>
      </c>
      <c r="M19" s="15"/>
      <c r="N19" s="15"/>
      <c r="O19" s="15"/>
      <c r="P19" s="15">
        <v>0</v>
      </c>
      <c r="Q19" s="15">
        <v>0</v>
      </c>
      <c r="R19" s="15">
        <v>0</v>
      </c>
      <c r="S19" s="15">
        <v>0</v>
      </c>
      <c r="T19" s="15">
        <v>0</v>
      </c>
      <c r="U19" s="15">
        <v>0</v>
      </c>
      <c r="V19" s="15">
        <v>0</v>
      </c>
      <c r="W19" s="15">
        <v>0</v>
      </c>
      <c r="X19" s="15">
        <v>0</v>
      </c>
      <c r="Y19" s="15">
        <v>0</v>
      </c>
      <c r="Z19" s="15">
        <v>0</v>
      </c>
      <c r="AA19" s="15">
        <v>0</v>
      </c>
      <c r="AB19" s="15">
        <v>0</v>
      </c>
      <c r="AC19" s="15">
        <v>0</v>
      </c>
      <c r="AD19" s="15">
        <v>0</v>
      </c>
      <c r="AE19" s="15">
        <v>0</v>
      </c>
      <c r="AF19" s="15">
        <v>0</v>
      </c>
      <c r="AG19" s="15">
        <v>0</v>
      </c>
      <c r="AH19" s="15">
        <v>0</v>
      </c>
      <c r="AI19" s="15">
        <v>0</v>
      </c>
      <c r="AJ19" s="15">
        <v>0</v>
      </c>
      <c r="AK19" s="15">
        <v>0</v>
      </c>
      <c r="AL19" s="15">
        <v>0</v>
      </c>
      <c r="AM19" s="15">
        <v>0</v>
      </c>
      <c r="AN19" s="15">
        <v>0</v>
      </c>
    </row>
    <row r="20" spans="1:40" s="8" customFormat="1" x14ac:dyDescent="0.25">
      <c r="A20" s="6"/>
      <c r="B20" s="49" t="s">
        <v>14</v>
      </c>
      <c r="D20" s="16">
        <f>+SUM(D16:D18)</f>
        <v>238250.8900000001</v>
      </c>
      <c r="E20" s="16">
        <f>+SUM(E16:E18)</f>
        <v>307463.21000000002</v>
      </c>
      <c r="F20" s="16">
        <v>382698.85</v>
      </c>
      <c r="G20" s="16">
        <v>708932.98</v>
      </c>
      <c r="H20" s="16">
        <v>570505.43999999994</v>
      </c>
      <c r="I20" s="16">
        <v>446235.04</v>
      </c>
      <c r="J20" s="16">
        <f>+SUM(J16:J18)</f>
        <v>2108371</v>
      </c>
      <c r="K20" s="16">
        <f>+SUM(K16:K18)-0.5</f>
        <v>349966.23076000006</v>
      </c>
      <c r="L20" s="16">
        <f>+SUM(L16:L18)</f>
        <v>349844.62011999969</v>
      </c>
      <c r="M20" s="16">
        <f>(+SUM(M16:M18))+1</f>
        <v>392821.92555999965</v>
      </c>
      <c r="N20" s="16">
        <f>+SUM(N16:N18)</f>
        <v>364150.64227000007</v>
      </c>
      <c r="O20" s="16">
        <f>+SUM(O16:O18)+0.6</f>
        <v>1456783.5187099988</v>
      </c>
      <c r="P20" s="16">
        <v>246699.67798000018</v>
      </c>
      <c r="Q20" s="16">
        <v>399147.91745000053</v>
      </c>
      <c r="R20" s="16">
        <v>293514.29587999999</v>
      </c>
      <c r="S20" s="16">
        <v>202355.98447000023</v>
      </c>
      <c r="T20" s="16">
        <v>1141718.3757800001</v>
      </c>
      <c r="U20" s="16">
        <v>191622.00849999909</v>
      </c>
      <c r="V20" s="16">
        <v>140501.74999000094</v>
      </c>
      <c r="W20" s="16">
        <v>103069.15822999938</v>
      </c>
      <c r="X20" s="16">
        <v>204146.26139999912</v>
      </c>
      <c r="Y20" s="16">
        <v>639339.17811999947</v>
      </c>
      <c r="Z20" s="16">
        <v>191279.68085082289</v>
      </c>
      <c r="AA20" s="16">
        <v>314543.85239172907</v>
      </c>
      <c r="AB20" s="16">
        <v>231347.97561484831</v>
      </c>
      <c r="AC20" s="16">
        <v>318989.06624195998</v>
      </c>
      <c r="AD20" s="16">
        <v>1056160.5750993609</v>
      </c>
      <c r="AE20" s="16">
        <v>295554.7902994703</v>
      </c>
      <c r="AF20" s="16">
        <v>266055.91509062308</v>
      </c>
      <c r="AG20" s="16">
        <v>276007.12737758731</v>
      </c>
      <c r="AH20" s="16">
        <v>271806.05659645615</v>
      </c>
      <c r="AI20" s="16">
        <v>1109423.4893641381</v>
      </c>
      <c r="AJ20" s="16">
        <v>920613.11389327201</v>
      </c>
      <c r="AK20" s="16">
        <v>1255652.6183816176</v>
      </c>
      <c r="AL20" s="16">
        <v>1043558.2114025503</v>
      </c>
      <c r="AM20" s="16">
        <v>288647.0437742339</v>
      </c>
      <c r="AN20" s="16">
        <v>1668884.0414210777</v>
      </c>
    </row>
    <row r="21" spans="1:40" s="8" customFormat="1" ht="5.0999999999999996" customHeight="1" x14ac:dyDescent="0.25">
      <c r="A21" s="6"/>
      <c r="B21" s="49"/>
      <c r="D21" s="15"/>
      <c r="E21" s="15"/>
      <c r="F21" s="15"/>
      <c r="G21" s="15"/>
      <c r="H21" s="15"/>
      <c r="I21" s="15"/>
      <c r="J21" s="15"/>
      <c r="K21" s="15"/>
      <c r="L21" s="15">
        <f>0</f>
        <v>0</v>
      </c>
      <c r="M21" s="15"/>
      <c r="N21" s="15"/>
      <c r="O21" s="15"/>
      <c r="P21" s="15">
        <v>0</v>
      </c>
      <c r="Q21" s="15">
        <v>0</v>
      </c>
      <c r="R21" s="15">
        <v>0</v>
      </c>
      <c r="S21" s="15">
        <v>0</v>
      </c>
      <c r="T21" s="15">
        <v>0</v>
      </c>
      <c r="U21" s="15">
        <v>0</v>
      </c>
      <c r="V21" s="15">
        <v>0</v>
      </c>
      <c r="W21" s="15">
        <v>0</v>
      </c>
      <c r="X21" s="15">
        <v>0</v>
      </c>
      <c r="Y21" s="15">
        <v>0</v>
      </c>
      <c r="Z21" s="15">
        <v>0</v>
      </c>
      <c r="AA21" s="15">
        <v>0</v>
      </c>
      <c r="AB21" s="15">
        <v>0</v>
      </c>
      <c r="AC21" s="15">
        <v>0</v>
      </c>
      <c r="AD21" s="15">
        <v>0</v>
      </c>
      <c r="AE21" s="15">
        <v>0</v>
      </c>
      <c r="AF21" s="15">
        <v>0</v>
      </c>
      <c r="AG21" s="15">
        <v>0</v>
      </c>
      <c r="AH21" s="15">
        <v>0</v>
      </c>
      <c r="AI21" s="15">
        <v>0</v>
      </c>
      <c r="AJ21" s="15">
        <v>0</v>
      </c>
      <c r="AK21" s="15">
        <v>0</v>
      </c>
      <c r="AL21" s="15">
        <v>0</v>
      </c>
      <c r="AM21" s="15">
        <v>0</v>
      </c>
      <c r="AN21" s="15">
        <v>0</v>
      </c>
    </row>
    <row r="22" spans="1:40" s="8" customFormat="1" x14ac:dyDescent="0.25">
      <c r="A22" s="6"/>
      <c r="B22" s="49" t="s">
        <v>126</v>
      </c>
      <c r="C22" s="119"/>
      <c r="D22" s="15">
        <v>0</v>
      </c>
      <c r="E22" s="15">
        <v>-19769.490000000002</v>
      </c>
      <c r="F22" s="15">
        <v>-29614.45</v>
      </c>
      <c r="G22" s="15">
        <v>-40112.720000000001</v>
      </c>
      <c r="H22" s="15">
        <v>-31330.3</v>
      </c>
      <c r="I22" s="15">
        <v>-30114.85</v>
      </c>
      <c r="J22" s="15">
        <v>-131172</v>
      </c>
      <c r="K22" s="15">
        <v>-39865.425999999992</v>
      </c>
      <c r="L22" s="15">
        <v>-29234.745869999999</v>
      </c>
      <c r="M22" s="15">
        <v>-24101.112219999999</v>
      </c>
      <c r="N22" s="15">
        <v>-21382.031499999997</v>
      </c>
      <c r="O22" s="15">
        <v>-114583.31559</v>
      </c>
      <c r="P22" s="15">
        <v>-24699.103399999996</v>
      </c>
      <c r="Q22" s="15">
        <v>-28745.745449999999</v>
      </c>
      <c r="R22" s="15">
        <v>-23869.706559999999</v>
      </c>
      <c r="S22" s="15">
        <v>-12656.056500000001</v>
      </c>
      <c r="T22" s="15">
        <v>-89971.111909999992</v>
      </c>
      <c r="U22" s="15">
        <v>-17582.133000000002</v>
      </c>
      <c r="V22" s="15">
        <v>-23412.602000000003</v>
      </c>
      <c r="W22" s="15">
        <v>-24445.0635</v>
      </c>
      <c r="X22" s="15">
        <v>-24048.66</v>
      </c>
      <c r="Y22" s="15">
        <v>-89489.458499999993</v>
      </c>
      <c r="Z22" s="15">
        <v>-28029.5995</v>
      </c>
      <c r="AA22" s="15">
        <v>-34970.811499999996</v>
      </c>
      <c r="AB22" s="15">
        <v>-30519.280000000002</v>
      </c>
      <c r="AC22" s="15">
        <v>-24346.322149999996</v>
      </c>
      <c r="AD22" s="15">
        <v>-117866.01314999998</v>
      </c>
      <c r="AE22" s="15">
        <v>-32674.330159999998</v>
      </c>
      <c r="AF22" s="15">
        <v>-32624.677</v>
      </c>
      <c r="AG22" s="15">
        <v>-32120.220754490136</v>
      </c>
      <c r="AH22" s="15">
        <v>-34693.943938934433</v>
      </c>
      <c r="AI22" s="15">
        <v>-132113.17185342457</v>
      </c>
      <c r="AJ22" s="15">
        <v>-150302.47822940207</v>
      </c>
      <c r="AK22" s="15">
        <v>-105569.86375518551</v>
      </c>
      <c r="AL22" s="15">
        <v>-71227.834299664522</v>
      </c>
      <c r="AM22" s="15">
        <v>-105892.53319023845</v>
      </c>
      <c r="AN22" s="15">
        <v>-144759.351</v>
      </c>
    </row>
    <row r="23" spans="1:40" s="8" customFormat="1" x14ac:dyDescent="0.25">
      <c r="A23" s="6"/>
      <c r="B23" s="49" t="s">
        <v>115</v>
      </c>
      <c r="C23" s="119"/>
      <c r="D23" s="15">
        <v>3.25</v>
      </c>
      <c r="E23" s="15">
        <v>5882.41</v>
      </c>
      <c r="F23" s="15">
        <v>5845.29</v>
      </c>
      <c r="G23" s="15">
        <v>5103.9399999999996</v>
      </c>
      <c r="H23" s="15">
        <v>5346.04</v>
      </c>
      <c r="I23" s="15">
        <v>4940.91</v>
      </c>
      <c r="J23" s="15">
        <v>21236</v>
      </c>
      <c r="K23" s="15">
        <v>5062.3517799999991</v>
      </c>
      <c r="L23" s="15">
        <v>5251.3383100000001</v>
      </c>
      <c r="M23" s="15">
        <v>4500.1078299999999</v>
      </c>
      <c r="N23" s="15">
        <v>4594.57996</v>
      </c>
      <c r="O23" s="15">
        <v>19408.37788</v>
      </c>
      <c r="P23" s="15">
        <v>3650.0922299999997</v>
      </c>
      <c r="Q23" s="15">
        <v>3363.0910200000003</v>
      </c>
      <c r="R23" s="15">
        <v>4097.11895</v>
      </c>
      <c r="S23" s="15">
        <v>3018.7127099999998</v>
      </c>
      <c r="T23" s="15">
        <v>14129.014909999998</v>
      </c>
      <c r="U23" s="15">
        <v>2057.2970300000002</v>
      </c>
      <c r="V23" s="15">
        <v>1939.10274</v>
      </c>
      <c r="W23" s="15">
        <v>1857.5186600000002</v>
      </c>
      <c r="X23" s="15">
        <v>2126.5324000000001</v>
      </c>
      <c r="Y23" s="15">
        <v>7981.4508299999998</v>
      </c>
      <c r="Z23" s="15">
        <v>1728.87355</v>
      </c>
      <c r="AA23" s="15">
        <v>2112.4535499999997</v>
      </c>
      <c r="AB23" s="15">
        <v>1786.1965500000001</v>
      </c>
      <c r="AC23" s="15">
        <v>2057.4357999999997</v>
      </c>
      <c r="AD23" s="15">
        <v>7684.9594500000012</v>
      </c>
      <c r="AE23" s="15">
        <v>2184.22874</v>
      </c>
      <c r="AF23" s="15">
        <v>2173.7972599999998</v>
      </c>
      <c r="AG23" s="15">
        <v>2185.1841209052523</v>
      </c>
      <c r="AH23" s="15">
        <v>2973.7848589896716</v>
      </c>
      <c r="AI23" s="15">
        <v>9516.9949798949256</v>
      </c>
      <c r="AJ23" s="15">
        <v>17046.509789999996</v>
      </c>
      <c r="AK23" s="15">
        <v>25562.526688264021</v>
      </c>
      <c r="AL23" s="15">
        <v>24023.974000000002</v>
      </c>
      <c r="AM23" s="15">
        <v>17697.473999999998</v>
      </c>
      <c r="AN23" s="15">
        <v>26290.548999999999</v>
      </c>
    </row>
    <row r="24" spans="1:40" s="8" customFormat="1" x14ac:dyDescent="0.25">
      <c r="A24" s="6"/>
      <c r="B24" s="49" t="s">
        <v>167</v>
      </c>
      <c r="C24" s="119"/>
      <c r="D24" s="15">
        <v>-3.85</v>
      </c>
      <c r="E24" s="15">
        <v>-12984.449999999997</v>
      </c>
      <c r="F24" s="15">
        <v>84509.55</v>
      </c>
      <c r="G24" s="15">
        <v>-54890.473999999995</v>
      </c>
      <c r="H24" s="15">
        <v>-75472.09</v>
      </c>
      <c r="I24" s="15">
        <v>-23788.34</v>
      </c>
      <c r="J24" s="15">
        <v>-69640</v>
      </c>
      <c r="K24" s="15">
        <v>5549.9766700000037</v>
      </c>
      <c r="L24" s="15">
        <v>-4842.1903199999988</v>
      </c>
      <c r="M24" s="15">
        <v>-47472.405239999993</v>
      </c>
      <c r="N24" s="15">
        <v>-23150.808270000001</v>
      </c>
      <c r="O24" s="15">
        <v>-69915.427159999992</v>
      </c>
      <c r="P24" s="15">
        <v>17389.797709999999</v>
      </c>
      <c r="Q24" s="15">
        <v>13185.965580000002</v>
      </c>
      <c r="R24" s="15">
        <v>19586.980540000004</v>
      </c>
      <c r="S24" s="15">
        <v>-12205.665080000001</v>
      </c>
      <c r="T24" s="15">
        <v>37956.578749999993</v>
      </c>
      <c r="U24" s="15">
        <v>-37989.275750000008</v>
      </c>
      <c r="V24" s="15">
        <v>1554.6588500000034</v>
      </c>
      <c r="W24" s="15">
        <v>2389.3806899999977</v>
      </c>
      <c r="X24" s="15">
        <v>16122.580019999999</v>
      </c>
      <c r="Y24" s="15">
        <v>-17921.656190000016</v>
      </c>
      <c r="Z24" s="15">
        <v>34958.321589918378</v>
      </c>
      <c r="AA24" s="15">
        <v>10274.478566451065</v>
      </c>
      <c r="AB24" s="15">
        <v>-2456.233819889399</v>
      </c>
      <c r="AC24" s="15">
        <v>-2045.9861192322739</v>
      </c>
      <c r="AD24" s="15">
        <v>40730.580217247771</v>
      </c>
      <c r="AE24" s="15">
        <v>79.809697594383735</v>
      </c>
      <c r="AF24" s="15">
        <v>4644.961034472065</v>
      </c>
      <c r="AG24" s="15">
        <v>-8570.7948721063349</v>
      </c>
      <c r="AH24" s="15">
        <v>-9033.2289182975674</v>
      </c>
      <c r="AI24" s="15">
        <v>-12879.253058337454</v>
      </c>
      <c r="AJ24" s="15">
        <v>11623.337506188693</v>
      </c>
      <c r="AK24" s="15">
        <v>-220414.13157228212</v>
      </c>
      <c r="AL24" s="15">
        <v>176440.98529966452</v>
      </c>
      <c r="AM24" s="15">
        <v>220797.81846954097</v>
      </c>
      <c r="AN24" s="15">
        <v>-677771.75441648078</v>
      </c>
    </row>
    <row r="25" spans="1:40" s="8" customFormat="1" ht="15" customHeight="1" x14ac:dyDescent="0.25">
      <c r="A25" s="6"/>
      <c r="B25" s="49" t="s">
        <v>142</v>
      </c>
      <c r="D25" s="16">
        <v>20329</v>
      </c>
      <c r="E25" s="16">
        <v>14877.56</v>
      </c>
      <c r="F25" s="16">
        <v>47829.39</v>
      </c>
      <c r="G25" s="16">
        <v>22593.85</v>
      </c>
      <c r="H25" s="16">
        <v>12366.43</v>
      </c>
      <c r="I25" s="16">
        <v>19982.759999999998</v>
      </c>
      <c r="J25" s="16">
        <v>102772</v>
      </c>
      <c r="K25" s="16">
        <v>16007.230700000011</v>
      </c>
      <c r="L25" s="16">
        <v>15534.827399999984</v>
      </c>
      <c r="M25" s="16">
        <v>15163.042860000003</v>
      </c>
      <c r="N25" s="16">
        <v>21409.744429999999</v>
      </c>
      <c r="O25" s="16">
        <v>68115.345390000002</v>
      </c>
      <c r="P25" s="16">
        <v>6514.6526399999984</v>
      </c>
      <c r="Q25" s="16">
        <v>783.13802999999507</v>
      </c>
      <c r="R25" s="16">
        <v>4884.4269099999856</v>
      </c>
      <c r="S25" s="16">
        <v>2442.4070300000058</v>
      </c>
      <c r="T25" s="16">
        <v>14624.124609999984</v>
      </c>
      <c r="U25" s="16">
        <v>-213433.23262</v>
      </c>
      <c r="V25" s="16">
        <v>-48802.145150000004</v>
      </c>
      <c r="W25" s="16">
        <v>-1055.238892919346</v>
      </c>
      <c r="X25" s="16">
        <v>-9520.1014270806536</v>
      </c>
      <c r="Y25" s="16">
        <v>-272809.71809000004</v>
      </c>
      <c r="Z25" s="16">
        <v>-5282.396630918257</v>
      </c>
      <c r="AA25" s="16">
        <v>-748760.9439710388</v>
      </c>
      <c r="AB25" s="16">
        <v>-393.64096157099721</v>
      </c>
      <c r="AC25" s="16">
        <v>2649.6636369889948</v>
      </c>
      <c r="AD25" s="16">
        <v>-751786.91792653908</v>
      </c>
      <c r="AE25" s="16">
        <v>-4518.5033927261311</v>
      </c>
      <c r="AF25" s="16">
        <v>-925.85993404766919</v>
      </c>
      <c r="AG25" s="16">
        <v>-10281.22973185131</v>
      </c>
      <c r="AH25" s="16">
        <v>-15883.531665755525</v>
      </c>
      <c r="AI25" s="16">
        <v>-31609.124724380636</v>
      </c>
      <c r="AJ25" s="16">
        <v>-346832.76808250509</v>
      </c>
      <c r="AK25" s="16">
        <v>10136.883695654158</v>
      </c>
      <c r="AL25" s="16">
        <v>12866.730312981485</v>
      </c>
      <c r="AM25" s="16">
        <v>7249.0046899661156</v>
      </c>
      <c r="AN25" s="16">
        <v>5575.1538693052462</v>
      </c>
    </row>
    <row r="26" spans="1:40" s="8" customFormat="1" ht="5.0999999999999996" customHeight="1" x14ac:dyDescent="0.25">
      <c r="A26" s="6"/>
      <c r="B26" s="49"/>
      <c r="D26" s="15"/>
      <c r="E26" s="15"/>
      <c r="F26" s="15"/>
      <c r="G26" s="15"/>
      <c r="H26" s="15"/>
      <c r="I26" s="15"/>
      <c r="J26" s="15"/>
      <c r="K26" s="15"/>
      <c r="L26" s="15">
        <f>0</f>
        <v>0</v>
      </c>
      <c r="M26" s="15"/>
      <c r="N26" s="15"/>
      <c r="O26" s="15"/>
      <c r="P26" s="15">
        <v>0</v>
      </c>
      <c r="Q26" s="15">
        <v>0</v>
      </c>
      <c r="R26" s="15">
        <v>0</v>
      </c>
      <c r="S26" s="15">
        <v>0</v>
      </c>
      <c r="T26" s="15">
        <v>0</v>
      </c>
      <c r="U26" s="15">
        <v>0</v>
      </c>
      <c r="V26" s="15">
        <v>0</v>
      </c>
      <c r="W26" s="15">
        <v>0</v>
      </c>
      <c r="X26" s="15">
        <v>0</v>
      </c>
      <c r="Y26" s="15">
        <v>0</v>
      </c>
      <c r="Z26" s="15">
        <v>0</v>
      </c>
      <c r="AA26" s="15">
        <v>0</v>
      </c>
      <c r="AB26" s="15">
        <v>0</v>
      </c>
      <c r="AC26" s="15">
        <v>0</v>
      </c>
      <c r="AD26" s="15">
        <v>0</v>
      </c>
      <c r="AE26" s="15">
        <v>0</v>
      </c>
      <c r="AF26" s="15">
        <v>0</v>
      </c>
      <c r="AG26" s="15">
        <v>0</v>
      </c>
      <c r="AH26" s="15">
        <v>0</v>
      </c>
      <c r="AI26" s="15">
        <v>0</v>
      </c>
      <c r="AJ26" s="15">
        <v>0</v>
      </c>
      <c r="AK26" s="15">
        <v>0</v>
      </c>
      <c r="AL26" s="15">
        <v>0</v>
      </c>
      <c r="AM26" s="15">
        <v>0</v>
      </c>
      <c r="AN26" s="15">
        <v>0</v>
      </c>
    </row>
    <row r="27" spans="1:40" s="8" customFormat="1" x14ac:dyDescent="0.25">
      <c r="A27" s="6"/>
      <c r="B27" s="49" t="s">
        <v>15</v>
      </c>
      <c r="D27" s="15">
        <f>+SUM(D20:D25)+1</f>
        <v>258580.2900000001</v>
      </c>
      <c r="E27" s="15">
        <f>+SUM(E20:E25)</f>
        <v>295469.24</v>
      </c>
      <c r="F27" s="15">
        <f>+SUM(F20:F25)-0.1</f>
        <v>491268.52999999997</v>
      </c>
      <c r="G27" s="15">
        <f t="shared" ref="G27:K27" si="3">+SUM(G20:G25)</f>
        <v>641627.57599999988</v>
      </c>
      <c r="H27" s="15">
        <f>+SUM(H20:H25)-0.2</f>
        <v>481415.31999999995</v>
      </c>
      <c r="I27" s="15">
        <f>+SUM(I20:I25)-0.05</f>
        <v>417255.47</v>
      </c>
      <c r="J27" s="15">
        <f t="shared" si="3"/>
        <v>2031567</v>
      </c>
      <c r="K27" s="15">
        <f t="shared" si="3"/>
        <v>336720.36391000013</v>
      </c>
      <c r="L27" s="15">
        <f>(+SUM(L20:L25))</f>
        <v>336553.84963999974</v>
      </c>
      <c r="M27" s="15">
        <f>(+SUM(M20:M25))</f>
        <v>340911.55878999963</v>
      </c>
      <c r="N27" s="15">
        <f>+SUM(N20:N25)+1</f>
        <v>345623.12689000013</v>
      </c>
      <c r="O27" s="15">
        <f>+SUM(O20:O25)+0.6</f>
        <v>1359809.0992299989</v>
      </c>
      <c r="P27" s="15">
        <v>249556.1171600002</v>
      </c>
      <c r="Q27" s="15">
        <v>387734.36663000053</v>
      </c>
      <c r="R27" s="15">
        <v>298212.11571999994</v>
      </c>
      <c r="S27" s="15">
        <v>182955.38263000021</v>
      </c>
      <c r="T27" s="15">
        <v>1118456.9821400002</v>
      </c>
      <c r="U27" s="15">
        <v>-75325.335840000917</v>
      </c>
      <c r="V27" s="15">
        <v>71780.764430000942</v>
      </c>
      <c r="W27" s="15">
        <v>81815.755187080023</v>
      </c>
      <c r="X27" s="15">
        <v>188826.61239291844</v>
      </c>
      <c r="Y27" s="15">
        <v>267099.29616999946</v>
      </c>
      <c r="Z27" s="15">
        <v>194655.87985982298</v>
      </c>
      <c r="AA27" s="15">
        <v>-456800.9709628587</v>
      </c>
      <c r="AB27" s="15">
        <v>199765.01738338792</v>
      </c>
      <c r="AC27" s="15">
        <v>297303.8574097167</v>
      </c>
      <c r="AD27" s="15">
        <v>234924.18369006959</v>
      </c>
      <c r="AE27" s="15">
        <v>260625.99518433854</v>
      </c>
      <c r="AF27" s="15">
        <v>239324.13645104747</v>
      </c>
      <c r="AG27" s="15">
        <v>227220.06614004477</v>
      </c>
      <c r="AH27" s="15">
        <v>215169.13693245832</v>
      </c>
      <c r="AI27" s="15">
        <v>942338.93470789038</v>
      </c>
      <c r="AJ27" s="15">
        <v>452147.71487755352</v>
      </c>
      <c r="AK27" s="15">
        <v>965368.03343806788</v>
      </c>
      <c r="AL27" s="15">
        <v>1185662.0667155317</v>
      </c>
      <c r="AM27" s="15">
        <v>428498.80774350249</v>
      </c>
      <c r="AN27" s="15">
        <v>878217.63887390203</v>
      </c>
    </row>
    <row r="28" spans="1:40" s="8" customFormat="1" x14ac:dyDescent="0.25">
      <c r="A28" s="6"/>
      <c r="B28" s="49" t="s">
        <v>106</v>
      </c>
      <c r="D28" s="15">
        <f t="shared" ref="D28:E28" si="4">+SUM(D29:D30)</f>
        <v>-47349.67</v>
      </c>
      <c r="E28" s="15">
        <f t="shared" si="4"/>
        <v>-72463.44</v>
      </c>
      <c r="F28" s="15">
        <f t="shared" ref="F28:K28" si="5">+SUM(F29:F30)</f>
        <v>-55833.8</v>
      </c>
      <c r="G28" s="15">
        <f t="shared" si="5"/>
        <v>-80849.31</v>
      </c>
      <c r="H28" s="15">
        <f t="shared" si="5"/>
        <v>-192163.9</v>
      </c>
      <c r="I28" s="15">
        <f t="shared" si="5"/>
        <v>-40588.01</v>
      </c>
      <c r="J28" s="15">
        <f t="shared" si="5"/>
        <v>-369435</v>
      </c>
      <c r="K28" s="15">
        <f t="shared" si="5"/>
        <v>-138701.83616000004</v>
      </c>
      <c r="L28" s="15">
        <f>+SUM(L29:L30)+0.5</f>
        <v>-103823.26105999998</v>
      </c>
      <c r="M28" s="15">
        <f>(+SUM(M29:M30))</f>
        <v>-59123.210600000013</v>
      </c>
      <c r="N28" s="15">
        <f>+SUM(N29:N30)</f>
        <v>-35234.347890000012</v>
      </c>
      <c r="O28" s="15">
        <f>+SUM(O29:O30)</f>
        <v>-336882.15571000002</v>
      </c>
      <c r="P28" s="15">
        <v>-104795.44845000003</v>
      </c>
      <c r="Q28" s="15">
        <v>-123401.15304999998</v>
      </c>
      <c r="R28" s="15">
        <v>-123959.39941</v>
      </c>
      <c r="S28" s="15">
        <v>-59372.863730000012</v>
      </c>
      <c r="T28" s="15">
        <v>-411527.86464000004</v>
      </c>
      <c r="U28" s="15">
        <v>-51192.832950000004</v>
      </c>
      <c r="V28" s="15">
        <v>-31766.609329999999</v>
      </c>
      <c r="W28" s="15">
        <v>-31324.001079963302</v>
      </c>
      <c r="X28" s="15">
        <v>-93036.234700036686</v>
      </c>
      <c r="Y28" s="15">
        <v>-207319.67806000001</v>
      </c>
      <c r="Z28" s="15">
        <v>-123285.61540431983</v>
      </c>
      <c r="AA28" s="15">
        <v>-87290.823713024482</v>
      </c>
      <c r="AB28" s="15">
        <v>-19447.600865554567</v>
      </c>
      <c r="AC28" s="15">
        <v>-109080.27851188216</v>
      </c>
      <c r="AD28" s="15">
        <v>-339105.31849478104</v>
      </c>
      <c r="AE28" s="15">
        <v>-89566.127819139743</v>
      </c>
      <c r="AF28" s="15">
        <v>-103305.93411543983</v>
      </c>
      <c r="AG28" s="15">
        <v>-92804.539340726435</v>
      </c>
      <c r="AH28" s="15">
        <v>-63749.731640015467</v>
      </c>
      <c r="AI28" s="15">
        <v>-349426.33291532146</v>
      </c>
      <c r="AJ28" s="15">
        <v>-261226.65822156865</v>
      </c>
      <c r="AK28" s="15">
        <v>-312555.08379317762</v>
      </c>
      <c r="AL28" s="15">
        <v>-406190.63116668491</v>
      </c>
      <c r="AM28" s="15">
        <v>-89398.384345190934</v>
      </c>
      <c r="AN28" s="15">
        <v>-160148.62923244067</v>
      </c>
    </row>
    <row r="29" spans="1:40" s="8" customFormat="1" ht="15" customHeight="1" outlineLevel="1" x14ac:dyDescent="0.25">
      <c r="A29" s="6"/>
      <c r="B29" s="114" t="s">
        <v>16</v>
      </c>
      <c r="D29" s="15">
        <v>-47349.67</v>
      </c>
      <c r="E29" s="15">
        <v>-72463.44</v>
      </c>
      <c r="F29" s="15">
        <v>-55833.8</v>
      </c>
      <c r="G29" s="15">
        <v>-80849.31</v>
      </c>
      <c r="H29" s="15">
        <v>-192163.9</v>
      </c>
      <c r="I29" s="15">
        <v>-40588.01</v>
      </c>
      <c r="J29" s="15">
        <v>-369435</v>
      </c>
      <c r="K29" s="15">
        <v>-138701.83616000004</v>
      </c>
      <c r="L29" s="15">
        <v>-103823.76105999998</v>
      </c>
      <c r="M29" s="15">
        <v>-59123.210600000013</v>
      </c>
      <c r="N29" s="15">
        <v>-35234.347890000012</v>
      </c>
      <c r="O29" s="15">
        <v>-336882.15571000002</v>
      </c>
      <c r="P29" s="15">
        <v>-104794.44845000003</v>
      </c>
      <c r="Q29" s="15">
        <v>-123401.15304999998</v>
      </c>
      <c r="R29" s="15">
        <v>-123959.39941</v>
      </c>
      <c r="S29" s="15">
        <v>-59372.863730000012</v>
      </c>
      <c r="T29" s="15">
        <v>-411527.86464000004</v>
      </c>
      <c r="U29" s="15">
        <v>-51192.832950000004</v>
      </c>
      <c r="V29" s="15">
        <v>-31766.609329999999</v>
      </c>
      <c r="W29" s="15">
        <v>-31324.001079963302</v>
      </c>
      <c r="X29" s="15">
        <v>-93036.234700036686</v>
      </c>
      <c r="Y29" s="15">
        <v>-207319.67806000001</v>
      </c>
      <c r="Z29" s="15">
        <v>-123285.61540431983</v>
      </c>
      <c r="AA29" s="15">
        <v>-87290.823713024482</v>
      </c>
      <c r="AB29" s="15">
        <v>-19447.600865554567</v>
      </c>
      <c r="AC29" s="15">
        <v>-109080.27851188216</v>
      </c>
      <c r="AD29" s="15">
        <v>-339105.31849478104</v>
      </c>
      <c r="AE29" s="15">
        <v>-89566.127819139743</v>
      </c>
      <c r="AF29" s="15">
        <v>-103305.93411543983</v>
      </c>
      <c r="AG29" s="15">
        <v>-92804.539340726435</v>
      </c>
      <c r="AH29" s="15">
        <v>-63749.731640015467</v>
      </c>
      <c r="AI29" s="15">
        <v>-349426.33291532146</v>
      </c>
      <c r="AJ29" s="15">
        <v>-261226.65822156865</v>
      </c>
      <c r="AK29" s="15">
        <v>-312555.08379317762</v>
      </c>
      <c r="AL29" s="15">
        <v>-406190.63116668491</v>
      </c>
      <c r="AM29" s="15">
        <v>-89398.384345190934</v>
      </c>
      <c r="AN29" s="15">
        <v>-256449.62923244067</v>
      </c>
    </row>
    <row r="30" spans="1:40" s="8" customFormat="1" ht="15" customHeight="1" outlineLevel="1" x14ac:dyDescent="0.25">
      <c r="A30" s="6"/>
      <c r="B30" s="114" t="s">
        <v>17</v>
      </c>
      <c r="D30" s="15">
        <v>0</v>
      </c>
      <c r="E30" s="15">
        <v>0</v>
      </c>
      <c r="F30" s="15">
        <v>0</v>
      </c>
      <c r="G30" s="15">
        <v>0</v>
      </c>
      <c r="H30" s="15">
        <v>0</v>
      </c>
      <c r="I30" s="15">
        <v>0</v>
      </c>
      <c r="J30" s="15">
        <v>0</v>
      </c>
      <c r="K30" s="15">
        <v>0</v>
      </c>
      <c r="L30" s="15">
        <f>0</f>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5">
        <v>0</v>
      </c>
      <c r="AF30" s="15">
        <v>0</v>
      </c>
      <c r="AG30" s="15">
        <v>0</v>
      </c>
      <c r="AH30" s="15">
        <v>0</v>
      </c>
      <c r="AI30" s="15">
        <v>0</v>
      </c>
      <c r="AJ30" s="15">
        <v>0</v>
      </c>
      <c r="AK30" s="15">
        <v>0</v>
      </c>
      <c r="AL30" s="15">
        <v>0</v>
      </c>
      <c r="AM30" s="15">
        <v>0</v>
      </c>
      <c r="AN30" s="15">
        <v>96300</v>
      </c>
    </row>
    <row r="31" spans="1:40" s="156" customFormat="1" ht="5.0999999999999996" customHeight="1" x14ac:dyDescent="0.25">
      <c r="A31" s="157"/>
      <c r="B31" s="158"/>
      <c r="D31" s="15"/>
      <c r="E31" s="15"/>
      <c r="F31" s="15"/>
      <c r="G31" s="15"/>
      <c r="H31" s="15"/>
      <c r="I31" s="15"/>
      <c r="J31" s="15"/>
      <c r="K31" s="15"/>
      <c r="L31" s="15">
        <f>0</f>
        <v>0</v>
      </c>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1:40" s="8" customFormat="1" x14ac:dyDescent="0.25">
      <c r="A32" s="6"/>
      <c r="B32" s="49" t="s">
        <v>127</v>
      </c>
      <c r="D32" s="102">
        <f>+SUM(D27,D29:D30)</f>
        <v>211230.62000000011</v>
      </c>
      <c r="E32" s="102">
        <f>+SUM(E27,E29:E30)</f>
        <v>223005.8</v>
      </c>
      <c r="F32" s="102">
        <f t="shared" ref="F32:I32" si="6">+SUM(F27,F29:F30)</f>
        <v>435434.73</v>
      </c>
      <c r="G32" s="102">
        <f t="shared" si="6"/>
        <v>560778.26599999983</v>
      </c>
      <c r="H32" s="102">
        <f>+SUM(H27,H29:H30)</f>
        <v>289251.41999999993</v>
      </c>
      <c r="I32" s="102">
        <f t="shared" si="6"/>
        <v>376667.45999999996</v>
      </c>
      <c r="J32" s="102">
        <f>+SUM(J27,J29:J30)</f>
        <v>1662132</v>
      </c>
      <c r="K32" s="102">
        <f>+SUM(K27,K29:K30)-0.5</f>
        <v>198018.0277500001</v>
      </c>
      <c r="L32" s="102">
        <f>+SUM(L27,L29:L30)+0.5</f>
        <v>232730.58857999975</v>
      </c>
      <c r="M32" s="102">
        <f>(+SUM(M27,M29:M30))+1</f>
        <v>281789.34818999964</v>
      </c>
      <c r="N32" s="102">
        <f>+SUM(N27,N29:N30)</f>
        <v>310388.7790000001</v>
      </c>
      <c r="O32" s="102">
        <f>+SUM(O27,O29:O30)</f>
        <v>1022926.9435199988</v>
      </c>
      <c r="P32" s="102">
        <v>144760.66871000017</v>
      </c>
      <c r="Q32" s="102">
        <v>264333.21358000056</v>
      </c>
      <c r="R32" s="102">
        <v>174252.71630999993</v>
      </c>
      <c r="S32" s="102">
        <v>123581.5189000002</v>
      </c>
      <c r="T32" s="102">
        <v>706929.11750000017</v>
      </c>
      <c r="U32" s="102">
        <v>-126518.16879000093</v>
      </c>
      <c r="V32" s="102">
        <v>40014.155100000942</v>
      </c>
      <c r="W32" s="102">
        <v>50491.754107116722</v>
      </c>
      <c r="X32" s="102">
        <v>95791.377692881753</v>
      </c>
      <c r="Y32" s="102">
        <v>59779.118109999457</v>
      </c>
      <c r="Z32" s="102">
        <v>71370.264455503144</v>
      </c>
      <c r="AA32" s="102">
        <v>-544091.79467588314</v>
      </c>
      <c r="AB32" s="102">
        <v>180317.41651783336</v>
      </c>
      <c r="AC32" s="102">
        <v>188223.57889783452</v>
      </c>
      <c r="AD32" s="102">
        <v>-104181.13480471144</v>
      </c>
      <c r="AE32" s="102">
        <v>171059.86736519879</v>
      </c>
      <c r="AF32" s="102">
        <v>136018.20233560764</v>
      </c>
      <c r="AG32" s="102">
        <v>134415.52679931832</v>
      </c>
      <c r="AH32" s="102">
        <v>151419.40529244285</v>
      </c>
      <c r="AI32" s="102">
        <v>592912.60179256892</v>
      </c>
      <c r="AJ32" s="102">
        <v>190921.05665598487</v>
      </c>
      <c r="AK32" s="102">
        <v>652812.94964489026</v>
      </c>
      <c r="AL32" s="102">
        <v>779470.43554884684</v>
      </c>
      <c r="AM32" s="102">
        <v>339101.42339831154</v>
      </c>
      <c r="AN32" s="102">
        <v>718069.00964146131</v>
      </c>
    </row>
    <row r="33" spans="1:40" s="8" customFormat="1" x14ac:dyDescent="0.25">
      <c r="A33" s="6"/>
      <c r="B33" s="1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spans="1:40" s="8" customFormat="1" x14ac:dyDescent="0.25">
      <c r="A34" s="6"/>
      <c r="B34" s="115" t="s">
        <v>18</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spans="1:40" s="8" customFormat="1" x14ac:dyDescent="0.25">
      <c r="A35" s="6"/>
      <c r="B35" s="49" t="s">
        <v>19</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c r="AB35" s="16">
        <v>0</v>
      </c>
      <c r="AC35" s="16">
        <v>0</v>
      </c>
      <c r="AD35" s="16">
        <v>0</v>
      </c>
      <c r="AE35" s="16">
        <v>0</v>
      </c>
      <c r="AF35" s="16">
        <v>0</v>
      </c>
      <c r="AG35" s="16">
        <v>0</v>
      </c>
      <c r="AH35" s="16">
        <v>0</v>
      </c>
      <c r="AI35" s="16">
        <v>0</v>
      </c>
      <c r="AJ35" s="16">
        <v>0</v>
      </c>
      <c r="AK35" s="16">
        <v>0</v>
      </c>
      <c r="AL35" s="16">
        <v>0</v>
      </c>
      <c r="AM35" s="16">
        <v>428022.71799999999</v>
      </c>
      <c r="AN35" s="16">
        <v>157094.94711085103</v>
      </c>
    </row>
    <row r="36" spans="1:40" s="8" customFormat="1" ht="5.0999999999999996" customHeight="1" x14ac:dyDescent="0.25">
      <c r="A36" s="6"/>
      <c r="B36" s="49"/>
      <c r="D36" s="15"/>
      <c r="E36" s="15"/>
      <c r="F36" s="15"/>
      <c r="G36" s="15"/>
      <c r="H36" s="15"/>
      <c r="I36" s="15"/>
      <c r="J36" s="15"/>
      <c r="K36" s="15"/>
      <c r="L36" s="15">
        <f>0</f>
        <v>0</v>
      </c>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spans="1:40" s="8" customFormat="1" x14ac:dyDescent="0.25">
      <c r="A37" s="6"/>
      <c r="B37" s="49" t="s">
        <v>128</v>
      </c>
      <c r="D37" s="15">
        <f t="shared" ref="D37:E37" si="7">+SUM(D32:D35)</f>
        <v>211230.62000000011</v>
      </c>
      <c r="E37" s="15">
        <f t="shared" si="7"/>
        <v>223005.8</v>
      </c>
      <c r="F37" s="15">
        <f t="shared" ref="F37:K37" si="8">+SUM(F32:F35)</f>
        <v>435434.73</v>
      </c>
      <c r="G37" s="15">
        <f t="shared" si="8"/>
        <v>560778.26599999983</v>
      </c>
      <c r="H37" s="15">
        <f t="shared" si="8"/>
        <v>289251.41999999993</v>
      </c>
      <c r="I37" s="15">
        <f t="shared" si="8"/>
        <v>376667.45999999996</v>
      </c>
      <c r="J37" s="15">
        <f t="shared" si="8"/>
        <v>1662132</v>
      </c>
      <c r="K37" s="15">
        <f t="shared" si="8"/>
        <v>198018.0277500001</v>
      </c>
      <c r="L37" s="15">
        <f>(+SUM(L32:L35))</f>
        <v>232730.58857999975</v>
      </c>
      <c r="M37" s="15">
        <f>(+SUM(M32:M35))</f>
        <v>281789.34818999964</v>
      </c>
      <c r="N37" s="15">
        <f t="shared" ref="N37:O37" si="9">+SUM(N32:N35)</f>
        <v>310388.7790000001</v>
      </c>
      <c r="O37" s="15">
        <f t="shared" si="9"/>
        <v>1022926.9435199988</v>
      </c>
      <c r="P37" s="15">
        <f t="shared" ref="P37" si="10">+SUM(P32:P35)</f>
        <v>144760.66871000017</v>
      </c>
      <c r="Q37" s="15">
        <f t="shared" ref="Q37:AN37" si="11">+SUM(Q32:Q35)</f>
        <v>264333.21358000056</v>
      </c>
      <c r="R37" s="15">
        <f t="shared" si="11"/>
        <v>174252.71630999993</v>
      </c>
      <c r="S37" s="15">
        <f t="shared" si="11"/>
        <v>123581.5189000002</v>
      </c>
      <c r="T37" s="15">
        <f t="shared" si="11"/>
        <v>706929.11750000017</v>
      </c>
      <c r="U37" s="15">
        <f t="shared" si="11"/>
        <v>-126518.16879000093</v>
      </c>
      <c r="V37" s="15">
        <f t="shared" si="11"/>
        <v>40014.155100000942</v>
      </c>
      <c r="W37" s="15">
        <f t="shared" si="11"/>
        <v>50491.754107116722</v>
      </c>
      <c r="X37" s="15">
        <f t="shared" si="11"/>
        <v>95791.377692881753</v>
      </c>
      <c r="Y37" s="15">
        <f t="shared" si="11"/>
        <v>59779.118109999457</v>
      </c>
      <c r="Z37" s="15">
        <f t="shared" si="11"/>
        <v>71370.264455503144</v>
      </c>
      <c r="AA37" s="15">
        <f t="shared" si="11"/>
        <v>-544091.79467588314</v>
      </c>
      <c r="AB37" s="15">
        <f t="shared" si="11"/>
        <v>180317.41651783336</v>
      </c>
      <c r="AC37" s="15">
        <f t="shared" si="11"/>
        <v>188223.57889783452</v>
      </c>
      <c r="AD37" s="15">
        <f t="shared" si="11"/>
        <v>-104181.13480471144</v>
      </c>
      <c r="AE37" s="15">
        <f t="shared" si="11"/>
        <v>171059.86736519879</v>
      </c>
      <c r="AF37" s="15">
        <f t="shared" si="11"/>
        <v>136018.20233560764</v>
      </c>
      <c r="AG37" s="15">
        <f t="shared" si="11"/>
        <v>134415.52679931832</v>
      </c>
      <c r="AH37" s="15">
        <f t="shared" si="11"/>
        <v>151419.40529244285</v>
      </c>
      <c r="AI37" s="15">
        <f t="shared" si="11"/>
        <v>592912.60179256892</v>
      </c>
      <c r="AJ37" s="15">
        <f t="shared" si="11"/>
        <v>190921.05665598487</v>
      </c>
      <c r="AK37" s="15">
        <f t="shared" si="11"/>
        <v>652812.94964489026</v>
      </c>
      <c r="AL37" s="15">
        <f t="shared" si="11"/>
        <v>779470.43554884684</v>
      </c>
      <c r="AM37" s="15">
        <f t="shared" si="11"/>
        <v>767124.14139831159</v>
      </c>
      <c r="AN37" s="15">
        <f t="shared" si="11"/>
        <v>875163.95675231237</v>
      </c>
    </row>
    <row r="38" spans="1:40" s="8" customFormat="1" x14ac:dyDescent="0.25">
      <c r="A38" s="6"/>
      <c r="B38" s="49"/>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spans="1:40" s="8" customFormat="1" x14ac:dyDescent="0.25">
      <c r="A39" s="6"/>
      <c r="B39" s="49" t="s">
        <v>20</v>
      </c>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spans="1:40" s="8" customFormat="1" x14ac:dyDescent="0.25">
      <c r="A40" s="6"/>
      <c r="B40" s="11" t="s">
        <v>116</v>
      </c>
      <c r="D40" s="15">
        <v>181121.66</v>
      </c>
      <c r="E40" s="15">
        <v>217764.53</v>
      </c>
      <c r="F40" s="15">
        <v>350561.07</v>
      </c>
      <c r="G40" s="15">
        <v>523554.46600000001</v>
      </c>
      <c r="H40" s="15">
        <v>293651.39</v>
      </c>
      <c r="I40" s="15">
        <v>338879.17</v>
      </c>
      <c r="J40" s="15">
        <v>1506647</v>
      </c>
      <c r="K40" s="15">
        <v>180240.6267799999</v>
      </c>
      <c r="L40" s="15">
        <v>194938.4313799997</v>
      </c>
      <c r="M40" s="15">
        <v>249705.49199999997</v>
      </c>
      <c r="N40" s="15">
        <v>261334.84703</v>
      </c>
      <c r="O40" s="15">
        <v>886218.8971899997</v>
      </c>
      <c r="P40" s="15">
        <v>118418.70001980718</v>
      </c>
      <c r="Q40" s="15">
        <v>228853.52268019354</v>
      </c>
      <c r="R40" s="15">
        <v>153982.11776999992</v>
      </c>
      <c r="S40" s="15">
        <v>94389.418970000363</v>
      </c>
      <c r="T40" s="15">
        <v>595643.75944000098</v>
      </c>
      <c r="U40" s="15">
        <v>-126174.24838205718</v>
      </c>
      <c r="V40" s="15">
        <v>24822.353400000771</v>
      </c>
      <c r="W40" s="15">
        <v>41023.995839243806</v>
      </c>
      <c r="X40" s="15">
        <v>68455.305370754941</v>
      </c>
      <c r="Y40" s="15">
        <v>8127.4062279423279</v>
      </c>
      <c r="Z40" s="15">
        <v>53030.590568367828</v>
      </c>
      <c r="AA40" s="15">
        <v>-530890.43047248281</v>
      </c>
      <c r="AB40" s="15">
        <v>129112.21837599648</v>
      </c>
      <c r="AC40" s="15">
        <v>149995.87639361771</v>
      </c>
      <c r="AD40" s="15">
        <v>-198751.34513450076</v>
      </c>
      <c r="AE40" s="15">
        <v>125601.49628867765</v>
      </c>
      <c r="AF40" s="15">
        <v>97848.457124242705</v>
      </c>
      <c r="AG40" s="15">
        <v>102710.62436755923</v>
      </c>
      <c r="AH40" s="15">
        <v>129265.11210962378</v>
      </c>
      <c r="AI40" s="15">
        <v>455424.68989010336</v>
      </c>
      <c r="AJ40" s="15">
        <v>142043.26850119245</v>
      </c>
      <c r="AK40" s="15">
        <v>517667.56487355451</v>
      </c>
      <c r="AL40" s="15">
        <v>622076.19972529134</v>
      </c>
      <c r="AM40" s="15">
        <v>717399.93961974955</v>
      </c>
      <c r="AN40" s="15">
        <v>715418.49268274545</v>
      </c>
    </row>
    <row r="41" spans="1:40" s="8" customFormat="1" x14ac:dyDescent="0.25">
      <c r="A41" s="6"/>
      <c r="B41" s="11" t="s">
        <v>21</v>
      </c>
      <c r="D41" s="16">
        <v>24618.9</v>
      </c>
      <c r="E41" s="16">
        <v>6407.86</v>
      </c>
      <c r="F41" s="16">
        <v>84873.76</v>
      </c>
      <c r="G41" s="16">
        <v>37223.81</v>
      </c>
      <c r="H41" s="16">
        <v>-4400.46</v>
      </c>
      <c r="I41" s="16">
        <v>37788.25</v>
      </c>
      <c r="J41" s="16">
        <v>155485</v>
      </c>
      <c r="K41" s="16">
        <v>17776.900969999988</v>
      </c>
      <c r="L41" s="16">
        <v>37793.157200000009</v>
      </c>
      <c r="M41" s="16">
        <v>32083.856189999999</v>
      </c>
      <c r="N41" s="16">
        <v>49053.931970000005</v>
      </c>
      <c r="O41" s="16">
        <v>136708.34632999997</v>
      </c>
      <c r="P41" s="16">
        <v>26341.968690192898</v>
      </c>
      <c r="Q41" s="16">
        <v>35478.690899807101</v>
      </c>
      <c r="R41" s="16">
        <v>20270.598539999999</v>
      </c>
      <c r="S41" s="16">
        <v>29193.09993</v>
      </c>
      <c r="T41" s="16">
        <v>111285.35806000001</v>
      </c>
      <c r="U41" s="16">
        <v>-343.92040794393012</v>
      </c>
      <c r="V41" s="16">
        <v>15191.801700000002</v>
      </c>
      <c r="W41" s="16">
        <v>9467.758267873025</v>
      </c>
      <c r="X41" s="16">
        <v>27336.072322126976</v>
      </c>
      <c r="Y41" s="16">
        <v>51651.711882056079</v>
      </c>
      <c r="Z41" s="16">
        <v>18338.673887135439</v>
      </c>
      <c r="AA41" s="16">
        <v>-13202.36420340057</v>
      </c>
      <c r="AB41" s="16">
        <v>51205.198141836932</v>
      </c>
      <c r="AC41" s="16">
        <v>38227.702504216941</v>
      </c>
      <c r="AD41" s="16">
        <v>94570.210329788752</v>
      </c>
      <c r="AE41" s="16">
        <v>45458.571076521032</v>
      </c>
      <c r="AF41" s="16">
        <v>38169.745211364985</v>
      </c>
      <c r="AG41" s="16">
        <v>31704.902431759223</v>
      </c>
      <c r="AH41" s="16">
        <v>22154.293182819049</v>
      </c>
      <c r="AI41" s="16">
        <v>137487.91190246432</v>
      </c>
      <c r="AJ41" s="16">
        <v>48877.788154793496</v>
      </c>
      <c r="AK41" s="16">
        <v>135145.38477133625</v>
      </c>
      <c r="AL41" s="16">
        <v>157394.23582355585</v>
      </c>
      <c r="AM41" s="16">
        <v>49724.201778561292</v>
      </c>
      <c r="AN41" s="16">
        <v>159746.46406956771</v>
      </c>
    </row>
    <row r="42" spans="1:40" s="8" customFormat="1" ht="5.0999999999999996" customHeight="1" x14ac:dyDescent="0.25">
      <c r="A42" s="6"/>
      <c r="B42" s="11"/>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spans="1:40" s="8" customFormat="1" ht="15.75" thickBot="1" x14ac:dyDescent="0.3">
      <c r="A43" s="6"/>
      <c r="B43" s="11"/>
      <c r="D43" s="17">
        <f t="shared" ref="D43:E43" si="12">+SUM(D40:D41)</f>
        <v>205740.56</v>
      </c>
      <c r="E43" s="17">
        <f t="shared" si="12"/>
        <v>224172.38999999998</v>
      </c>
      <c r="F43" s="17">
        <f t="shared" ref="F43:K43" si="13">+SUM(F40:F41)</f>
        <v>435434.83</v>
      </c>
      <c r="G43" s="17">
        <f t="shared" si="13"/>
        <v>560778.27600000007</v>
      </c>
      <c r="H43" s="17">
        <f>+SUM(H40:H41)+0.2</f>
        <v>289251.13</v>
      </c>
      <c r="I43" s="17">
        <f t="shared" si="13"/>
        <v>376667.42</v>
      </c>
      <c r="J43" s="17">
        <f t="shared" si="13"/>
        <v>1662132</v>
      </c>
      <c r="K43" s="17">
        <f t="shared" si="13"/>
        <v>198017.52774999989</v>
      </c>
      <c r="L43" s="17">
        <f>+SUM(L40:L41)-0.2</f>
        <v>232731.38857999971</v>
      </c>
      <c r="M43" s="17">
        <f>+SUM(M40:M41)</f>
        <v>281789.34818999999</v>
      </c>
      <c r="N43" s="17">
        <f>+SUM(N40:N41)</f>
        <v>310388.77899999998</v>
      </c>
      <c r="O43" s="17">
        <f>+SUM(O40:O41)</f>
        <v>1022927.2435199997</v>
      </c>
      <c r="P43" s="17">
        <v>144760.66871000009</v>
      </c>
      <c r="Q43" s="17">
        <v>264333.21358000062</v>
      </c>
      <c r="R43" s="17">
        <v>174252.71630999993</v>
      </c>
      <c r="S43" s="17">
        <v>123581.51890000036</v>
      </c>
      <c r="T43" s="17">
        <v>706929.11750000098</v>
      </c>
      <c r="U43" s="17">
        <v>-126518.16879000112</v>
      </c>
      <c r="V43" s="17">
        <v>40014.155100000775</v>
      </c>
      <c r="W43" s="17">
        <v>50491.754107116831</v>
      </c>
      <c r="X43" s="17">
        <v>95791.377692881913</v>
      </c>
      <c r="Y43" s="17">
        <v>59779.11810999841</v>
      </c>
      <c r="Z43" s="17">
        <v>71370.26445550326</v>
      </c>
      <c r="AA43" s="17">
        <v>-544092.39467588335</v>
      </c>
      <c r="AB43" s="17">
        <v>180317.41651783342</v>
      </c>
      <c r="AC43" s="17">
        <v>188223.57889783464</v>
      </c>
      <c r="AD43" s="17">
        <v>-104181.13480471201</v>
      </c>
      <c r="AE43" s="17">
        <v>171060.06736519869</v>
      </c>
      <c r="AF43" s="17">
        <v>136018.2023356077</v>
      </c>
      <c r="AG43" s="17">
        <v>134415.52679931844</v>
      </c>
      <c r="AH43" s="17">
        <v>151419.40529244283</v>
      </c>
      <c r="AI43" s="17">
        <v>592912.60179256764</v>
      </c>
      <c r="AJ43" s="17">
        <v>190921.05665598594</v>
      </c>
      <c r="AK43" s="17">
        <v>652812.94964489073</v>
      </c>
      <c r="AL43" s="17">
        <v>779470.43554884719</v>
      </c>
      <c r="AM43" s="17">
        <v>767124.14139831089</v>
      </c>
      <c r="AN43" s="17">
        <v>875163.95675231318</v>
      </c>
    </row>
    <row r="44" spans="1:40" s="8" customFormat="1" ht="5.0999999999999996" customHeight="1" thickTop="1" x14ac:dyDescent="0.25">
      <c r="A44" s="6"/>
      <c r="B44" s="11"/>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spans="1:40" s="8" customFormat="1" x14ac:dyDescent="0.25">
      <c r="A45" s="6"/>
      <c r="B45" s="11" t="s">
        <v>22</v>
      </c>
      <c r="D45" s="15">
        <v>171729.76</v>
      </c>
      <c r="E45" s="15">
        <v>166166.22</v>
      </c>
      <c r="F45" s="15">
        <v>130123.5</v>
      </c>
      <c r="G45" s="15">
        <v>147530.56</v>
      </c>
      <c r="H45" s="15">
        <v>154385.12</v>
      </c>
      <c r="I45" s="15">
        <v>157260.46</v>
      </c>
      <c r="J45" s="15">
        <v>589299.28813999996</v>
      </c>
      <c r="K45" s="15">
        <v>152366.15122999996</v>
      </c>
      <c r="L45" s="15">
        <v>116295.72626000002</v>
      </c>
      <c r="M45" s="15">
        <v>105034.41285999998</v>
      </c>
      <c r="N45" s="15">
        <v>100602.29216000001</v>
      </c>
      <c r="O45" s="15">
        <v>474298.58250999998</v>
      </c>
      <c r="P45" s="15">
        <v>103863.11128999999</v>
      </c>
      <c r="Q45" s="15">
        <v>103105.02169000001</v>
      </c>
      <c r="R45" s="15">
        <v>99253.909169999984</v>
      </c>
      <c r="S45" s="15">
        <v>100667.74324</v>
      </c>
      <c r="T45" s="15">
        <v>406889.78538999998</v>
      </c>
      <c r="U45" s="15">
        <v>105462.73693999999</v>
      </c>
      <c r="V45" s="15">
        <v>109907.07211000001</v>
      </c>
      <c r="W45" s="15">
        <v>109123.90522999999</v>
      </c>
      <c r="X45" s="15">
        <v>109294.68001000001</v>
      </c>
      <c r="Y45" s="15">
        <v>433788.39428999997</v>
      </c>
      <c r="Z45" s="15">
        <v>109609.01787133505</v>
      </c>
      <c r="AA45" s="15">
        <v>108491.98890623447</v>
      </c>
      <c r="AB45" s="15">
        <v>98777.924643314444</v>
      </c>
      <c r="AC45" s="15">
        <v>97918.12498608444</v>
      </c>
      <c r="AD45" s="15">
        <v>414797.05640696839</v>
      </c>
      <c r="AE45" s="15">
        <v>94489.064516061801</v>
      </c>
      <c r="AF45" s="15">
        <v>92300.652646092843</v>
      </c>
      <c r="AG45" s="15">
        <v>94491.383736590666</v>
      </c>
      <c r="AH45" s="15">
        <v>95852.250674516981</v>
      </c>
      <c r="AI45" s="15">
        <v>377133.35157326231</v>
      </c>
      <c r="AJ45" s="15">
        <v>370855.15000999998</v>
      </c>
      <c r="AK45" s="15">
        <v>395988.07510000002</v>
      </c>
      <c r="AL45" s="15">
        <v>374201.489</v>
      </c>
      <c r="AM45" s="15">
        <v>374814.566720339</v>
      </c>
      <c r="AN45" s="15">
        <v>404808.19799999997</v>
      </c>
    </row>
    <row r="46" spans="1:40" s="8" customFormat="1" x14ac:dyDescent="0.25">
      <c r="A46" s="6"/>
      <c r="B46" s="11" t="s">
        <v>146</v>
      </c>
      <c r="D46" s="18">
        <v>1963076776</v>
      </c>
      <c r="E46" s="18">
        <v>1963076776</v>
      </c>
      <c r="F46" s="18">
        <v>1963076776</v>
      </c>
      <c r="G46" s="18">
        <v>1963076776</v>
      </c>
      <c r="H46" s="18">
        <v>1963076776</v>
      </c>
      <c r="I46" s="18">
        <v>1963076776</v>
      </c>
      <c r="J46" s="18">
        <v>1963076776</v>
      </c>
      <c r="K46" s="18">
        <v>1963076776</v>
      </c>
      <c r="L46" s="18">
        <f>((1963076776))</f>
        <v>1963076776</v>
      </c>
      <c r="M46" s="18">
        <f>1963076776</f>
        <v>1963076776</v>
      </c>
      <c r="N46" s="18">
        <v>1963076776</v>
      </c>
      <c r="O46" s="18">
        <v>1963076776</v>
      </c>
      <c r="P46" s="15">
        <v>1963076776</v>
      </c>
      <c r="Q46" s="15">
        <v>1963076776</v>
      </c>
      <c r="R46" s="15">
        <v>1963076776</v>
      </c>
      <c r="S46" s="15">
        <v>1963076776</v>
      </c>
      <c r="T46" s="15">
        <v>1963076776</v>
      </c>
      <c r="U46" s="15">
        <v>1963076776</v>
      </c>
      <c r="V46" s="15">
        <v>1963076776</v>
      </c>
      <c r="W46" s="15">
        <v>1963076776</v>
      </c>
      <c r="X46" s="15">
        <v>1963076776</v>
      </c>
      <c r="Y46" s="15">
        <v>1963076776</v>
      </c>
      <c r="Z46" s="15">
        <v>1963076776</v>
      </c>
      <c r="AA46" s="15">
        <v>1963076776</v>
      </c>
      <c r="AB46" s="15">
        <v>1963076776</v>
      </c>
      <c r="AC46" s="15">
        <v>1963076776</v>
      </c>
      <c r="AD46" s="15">
        <v>1963076776</v>
      </c>
      <c r="AE46" s="15">
        <v>1963076776</v>
      </c>
      <c r="AF46" s="15">
        <v>1963076776</v>
      </c>
      <c r="AG46" s="15">
        <v>1963076776</v>
      </c>
      <c r="AH46" s="15">
        <v>1963076776</v>
      </c>
      <c r="AI46" s="15">
        <v>1963076776</v>
      </c>
      <c r="AJ46" s="15">
        <v>1963076776</v>
      </c>
      <c r="AK46" s="15">
        <v>1968327917</v>
      </c>
      <c r="AL46" s="15">
        <v>2004743442</v>
      </c>
      <c r="AM46" s="15">
        <v>2004743442</v>
      </c>
      <c r="AN46" s="15">
        <v>2004743442</v>
      </c>
    </row>
    <row r="47" spans="1:40" s="8" customFormat="1" x14ac:dyDescent="0.25">
      <c r="A47" s="6"/>
      <c r="B47" s="11"/>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row>
    <row r="48" spans="1:40" s="8" customFormat="1" ht="15" customHeight="1" x14ac:dyDescent="0.25">
      <c r="A48" s="6"/>
      <c r="B48" s="11" t="s">
        <v>147</v>
      </c>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row>
    <row r="49" spans="1:40" s="8" customFormat="1" ht="15" customHeight="1" outlineLevel="1" x14ac:dyDescent="0.25">
      <c r="A49" s="6"/>
      <c r="B49" s="11" t="s">
        <v>117</v>
      </c>
      <c r="D49" s="90">
        <f t="shared" ref="D49" si="14">+D51</f>
        <v>9.2264175407880233E-2</v>
      </c>
      <c r="E49" s="90">
        <f t="shared" ref="E49:F49" si="15">+E51</f>
        <v>0.11093021559947383</v>
      </c>
      <c r="F49" s="90">
        <f t="shared" si="15"/>
        <v>0.17857736094983989</v>
      </c>
      <c r="G49" s="90">
        <f t="shared" ref="G49" si="16">+G51</f>
        <v>0.26670096269326965</v>
      </c>
      <c r="H49" s="90">
        <f t="shared" ref="H49" si="17">+H51</f>
        <v>0.14958731802550754</v>
      </c>
      <c r="I49" s="90">
        <f t="shared" ref="I49:J49" si="18">+I51</f>
        <v>0.17262654937546873</v>
      </c>
      <c r="J49" s="90">
        <f t="shared" si="18"/>
        <v>0.76749265154568769</v>
      </c>
      <c r="K49" s="90">
        <f t="shared" ref="K49:P49" si="19">+K51</f>
        <v>9.18153731853837E-2</v>
      </c>
      <c r="L49" s="90">
        <f t="shared" si="19"/>
        <v>9.9302499914042941E-2</v>
      </c>
      <c r="M49" s="90">
        <f t="shared" si="19"/>
        <v>0.12720108304108424</v>
      </c>
      <c r="N49" s="90">
        <f t="shared" si="19"/>
        <v>0.13312512797512716</v>
      </c>
      <c r="O49" s="90">
        <f t="shared" si="19"/>
        <v>0.4514438294134247</v>
      </c>
      <c r="P49" s="90">
        <f t="shared" si="19"/>
        <v>6.0323010015481522E-2</v>
      </c>
      <c r="Q49" s="90">
        <f t="shared" ref="Q49:AN49" si="20">+Q51</f>
        <v>0.11657899756040592</v>
      </c>
      <c r="R49" s="90">
        <f t="shared" si="20"/>
        <v>7.8439172452417577E-2</v>
      </c>
      <c r="S49" s="90">
        <f t="shared" si="20"/>
        <v>4.8082387873962781E-2</v>
      </c>
      <c r="T49" s="90">
        <f t="shared" si="20"/>
        <v>0.30342356790226782</v>
      </c>
      <c r="U49" s="90">
        <f t="shared" si="20"/>
        <v>-6.4273720684094718E-2</v>
      </c>
      <c r="V49" s="90">
        <f t="shared" si="20"/>
        <v>1.2644616707543776E-2</v>
      </c>
      <c r="W49" s="90">
        <f t="shared" si="20"/>
        <v>2.0897805088823388E-2</v>
      </c>
      <c r="X49" s="90">
        <f t="shared" si="20"/>
        <v>3.4871435599294634E-2</v>
      </c>
      <c r="Y49" s="90">
        <f t="shared" si="20"/>
        <v>4.1401367115670709E-3</v>
      </c>
      <c r="Z49" s="90">
        <f t="shared" si="20"/>
        <v>2.701401759559496E-2</v>
      </c>
      <c r="AA49" s="90">
        <f t="shared" si="20"/>
        <v>-0.27043793547098782</v>
      </c>
      <c r="AB49" s="90">
        <f t="shared" si="20"/>
        <v>6.5770335605048427E-2</v>
      </c>
      <c r="AC49" s="90">
        <f t="shared" si="20"/>
        <v>7.6408563448675693E-2</v>
      </c>
      <c r="AD49" s="90">
        <f t="shared" si="20"/>
        <v>-0.10124481505989798</v>
      </c>
      <c r="AE49" s="90">
        <f t="shared" si="20"/>
        <v>6.3981958232222316E-2</v>
      </c>
      <c r="AF49" s="90">
        <f t="shared" si="20"/>
        <v>4.9844437222481157E-2</v>
      </c>
      <c r="AG49" s="90">
        <f t="shared" si="20"/>
        <v>5.2321246740458217E-2</v>
      </c>
      <c r="AH49" s="90">
        <f t="shared" si="20"/>
        <v>6.5848220349800396E-2</v>
      </c>
      <c r="AI49" s="90">
        <f t="shared" si="20"/>
        <v>0.23199535314053521</v>
      </c>
      <c r="AJ49" s="90">
        <f t="shared" si="20"/>
        <v>7.2357469783032285E-2</v>
      </c>
      <c r="AK49" s="90">
        <f t="shared" si="20"/>
        <v>0.26299863981127214</v>
      </c>
      <c r="AL49" s="90">
        <f t="shared" si="20"/>
        <v>0.31030214973776749</v>
      </c>
      <c r="AM49" s="90">
        <f t="shared" si="20"/>
        <v>0.35785124649368949</v>
      </c>
      <c r="AN49" s="90">
        <f t="shared" si="20"/>
        <v>0.35686286718514948</v>
      </c>
    </row>
    <row r="50" spans="1:40" s="8" customFormat="1" ht="15" customHeight="1" outlineLevel="1" x14ac:dyDescent="0.25">
      <c r="A50" s="6"/>
      <c r="B50" s="11" t="s">
        <v>118</v>
      </c>
      <c r="D50" s="90">
        <v>0</v>
      </c>
      <c r="E50" s="90">
        <v>0</v>
      </c>
      <c r="F50" s="90">
        <v>0</v>
      </c>
      <c r="G50" s="90">
        <v>0</v>
      </c>
      <c r="H50" s="90">
        <v>0</v>
      </c>
      <c r="I50" s="90">
        <v>0</v>
      </c>
      <c r="J50" s="90">
        <v>0</v>
      </c>
      <c r="K50" s="90">
        <v>0</v>
      </c>
      <c r="L50" s="90">
        <v>0</v>
      </c>
      <c r="M50" s="90">
        <v>0</v>
      </c>
      <c r="N50" s="90">
        <v>0</v>
      </c>
      <c r="O50" s="90">
        <v>0</v>
      </c>
      <c r="P50" s="90">
        <v>0</v>
      </c>
      <c r="Q50" s="90">
        <v>0</v>
      </c>
      <c r="R50" s="90">
        <v>0</v>
      </c>
      <c r="S50" s="90">
        <v>0</v>
      </c>
      <c r="T50" s="90">
        <v>0</v>
      </c>
      <c r="U50" s="90">
        <v>0</v>
      </c>
      <c r="V50" s="90">
        <v>0</v>
      </c>
      <c r="W50" s="90">
        <v>0</v>
      </c>
      <c r="X50" s="90">
        <v>0</v>
      </c>
      <c r="Y50" s="90">
        <v>0</v>
      </c>
      <c r="Z50" s="90"/>
      <c r="AA50" s="90"/>
      <c r="AB50" s="90"/>
      <c r="AC50" s="90"/>
      <c r="AD50" s="90">
        <v>0</v>
      </c>
      <c r="AE50" s="90"/>
      <c r="AF50" s="90"/>
      <c r="AG50" s="90"/>
      <c r="AH50" s="90"/>
      <c r="AI50" s="90">
        <v>0</v>
      </c>
      <c r="AJ50" s="90">
        <v>0</v>
      </c>
      <c r="AK50" s="90">
        <v>0</v>
      </c>
      <c r="AL50" s="90">
        <v>0</v>
      </c>
      <c r="AM50" s="90">
        <v>0.21</v>
      </c>
      <c r="AN50" s="90">
        <v>0.09</v>
      </c>
    </row>
    <row r="51" spans="1:40" s="8" customFormat="1" ht="15" customHeight="1" x14ac:dyDescent="0.25">
      <c r="A51" s="6"/>
      <c r="B51" s="11" t="s">
        <v>119</v>
      </c>
      <c r="D51" s="90">
        <f t="shared" ref="D51" si="21">+D40/D46*1000</f>
        <v>9.2264175407880233E-2</v>
      </c>
      <c r="E51" s="90">
        <f t="shared" ref="E51:F51" si="22">+E40/E46*1000</f>
        <v>0.11093021559947383</v>
      </c>
      <c r="F51" s="90">
        <f t="shared" si="22"/>
        <v>0.17857736094983989</v>
      </c>
      <c r="G51" s="90">
        <f t="shared" ref="G51" si="23">+G40/G46*1000</f>
        <v>0.26670096269326965</v>
      </c>
      <c r="H51" s="90">
        <f t="shared" ref="H51" si="24">+H40/H46*1000</f>
        <v>0.14958731802550754</v>
      </c>
      <c r="I51" s="90">
        <f t="shared" ref="I51:J51" si="25">+I40/I46*1000</f>
        <v>0.17262654937546873</v>
      </c>
      <c r="J51" s="90">
        <f t="shared" si="25"/>
        <v>0.76749265154568769</v>
      </c>
      <c r="K51" s="90">
        <f t="shared" ref="K51:O51" si="26">+K40/K46*1000</f>
        <v>9.18153731853837E-2</v>
      </c>
      <c r="L51" s="90">
        <f t="shared" si="26"/>
        <v>9.9302499914042941E-2</v>
      </c>
      <c r="M51" s="90">
        <f t="shared" si="26"/>
        <v>0.12720108304108424</v>
      </c>
      <c r="N51" s="90">
        <f t="shared" si="26"/>
        <v>0.13312512797512716</v>
      </c>
      <c r="O51" s="90">
        <f t="shared" si="26"/>
        <v>0.4514438294134247</v>
      </c>
      <c r="P51" s="90">
        <f t="shared" ref="P51:R51" si="27">+P40/P46*1000</f>
        <v>6.0323010015481522E-2</v>
      </c>
      <c r="Q51" s="90">
        <f t="shared" si="27"/>
        <v>0.11657899756040592</v>
      </c>
      <c r="R51" s="90">
        <f t="shared" si="27"/>
        <v>7.8439172452417577E-2</v>
      </c>
      <c r="S51" s="90">
        <f t="shared" ref="S51:T51" si="28">+S40/S46*1000</f>
        <v>4.8082387873962781E-2</v>
      </c>
      <c r="T51" s="90">
        <f t="shared" si="28"/>
        <v>0.30342356790226782</v>
      </c>
      <c r="U51" s="90">
        <f t="shared" ref="U51:AD51" si="29">+U40/U46*1000</f>
        <v>-6.4273720684094718E-2</v>
      </c>
      <c r="V51" s="90">
        <f t="shared" si="29"/>
        <v>1.2644616707543776E-2</v>
      </c>
      <c r="W51" s="90">
        <f t="shared" si="29"/>
        <v>2.0897805088823388E-2</v>
      </c>
      <c r="X51" s="90">
        <f t="shared" si="29"/>
        <v>3.4871435599294634E-2</v>
      </c>
      <c r="Y51" s="90">
        <f t="shared" si="29"/>
        <v>4.1401367115670709E-3</v>
      </c>
      <c r="Z51" s="90">
        <f t="shared" si="29"/>
        <v>2.701401759559496E-2</v>
      </c>
      <c r="AA51" s="90">
        <f t="shared" si="29"/>
        <v>-0.27043793547098782</v>
      </c>
      <c r="AB51" s="90">
        <f t="shared" si="29"/>
        <v>6.5770335605048427E-2</v>
      </c>
      <c r="AC51" s="90">
        <f t="shared" si="29"/>
        <v>7.6408563448675693E-2</v>
      </c>
      <c r="AD51" s="90">
        <f t="shared" si="29"/>
        <v>-0.10124481505989798</v>
      </c>
      <c r="AE51" s="90">
        <f>+AE40/AE46*1000</f>
        <v>6.3981958232222316E-2</v>
      </c>
      <c r="AF51" s="90">
        <f>+AF40/AF46*1000</f>
        <v>4.9844437222481157E-2</v>
      </c>
      <c r="AG51" s="90">
        <f>+AG40/AG46*1000</f>
        <v>5.2321246740458217E-2</v>
      </c>
      <c r="AH51" s="90">
        <f>+AH40/AH46*1000</f>
        <v>6.5848220349800396E-2</v>
      </c>
      <c r="AI51" s="90">
        <f t="shared" ref="AI51:AN51" si="30">+AI40/AI46*1000</f>
        <v>0.23199535314053521</v>
      </c>
      <c r="AJ51" s="90">
        <f t="shared" si="30"/>
        <v>7.2357469783032285E-2</v>
      </c>
      <c r="AK51" s="90">
        <f t="shared" si="30"/>
        <v>0.26299863981127214</v>
      </c>
      <c r="AL51" s="90">
        <f t="shared" si="30"/>
        <v>0.31030214973776749</v>
      </c>
      <c r="AM51" s="90">
        <f t="shared" si="30"/>
        <v>0.35785124649368949</v>
      </c>
      <c r="AN51" s="90">
        <f t="shared" si="30"/>
        <v>0.35686286718514948</v>
      </c>
    </row>
    <row r="52" spans="1:40" s="8" customFormat="1" ht="15" customHeight="1" x14ac:dyDescent="0.25">
      <c r="A52" s="6"/>
      <c r="B52" s="11" t="s">
        <v>23</v>
      </c>
      <c r="D52" s="91">
        <v>0</v>
      </c>
      <c r="E52" s="91">
        <v>0</v>
      </c>
      <c r="F52" s="91">
        <v>0</v>
      </c>
      <c r="G52" s="91">
        <v>0</v>
      </c>
      <c r="H52" s="91">
        <v>0</v>
      </c>
      <c r="I52" s="91">
        <v>0</v>
      </c>
      <c r="J52" s="91">
        <v>0.12</v>
      </c>
      <c r="K52" s="91">
        <v>0</v>
      </c>
      <c r="L52" s="91">
        <v>0</v>
      </c>
      <c r="M52" s="91">
        <v>0</v>
      </c>
      <c r="N52" s="91">
        <v>0</v>
      </c>
      <c r="O52" s="91">
        <v>0.11</v>
      </c>
      <c r="P52" s="91">
        <v>0</v>
      </c>
      <c r="Q52" s="91">
        <v>0</v>
      </c>
      <c r="R52" s="91">
        <v>0.100000164231987</v>
      </c>
      <c r="S52" s="91">
        <v>0</v>
      </c>
      <c r="T52" s="91">
        <v>0.100000164231987</v>
      </c>
      <c r="U52" s="91">
        <v>0</v>
      </c>
      <c r="V52" s="91">
        <v>0</v>
      </c>
      <c r="W52" s="91">
        <v>9.0000045927903102E-2</v>
      </c>
      <c r="X52" s="91">
        <v>0</v>
      </c>
      <c r="Y52" s="91">
        <v>9.0000045927903102E-2</v>
      </c>
      <c r="Z52" s="91">
        <v>0</v>
      </c>
      <c r="AA52" s="91">
        <v>0</v>
      </c>
      <c r="AB52" s="91">
        <v>9.0000045927903102E-2</v>
      </c>
      <c r="AC52" s="91">
        <v>0</v>
      </c>
      <c r="AD52" s="91">
        <v>9.0000045927903102E-2</v>
      </c>
      <c r="AE52" s="91">
        <v>0</v>
      </c>
      <c r="AF52" s="91">
        <v>0</v>
      </c>
      <c r="AG52" s="92">
        <v>7.4999999999999997E-2</v>
      </c>
      <c r="AH52" s="91">
        <v>0</v>
      </c>
      <c r="AI52" s="92">
        <v>7.4999999999999997E-2</v>
      </c>
      <c r="AJ52" s="92">
        <v>6.5000000000000002E-2</v>
      </c>
      <c r="AK52" s="92">
        <v>7.4999999999999997E-2</v>
      </c>
      <c r="AL52" s="92">
        <v>7.4999999999999997E-2</v>
      </c>
      <c r="AM52" s="92">
        <v>0.05</v>
      </c>
      <c r="AN52" s="92">
        <v>0</v>
      </c>
    </row>
    <row r="53" spans="1:40" s="8" customFormat="1" outlineLevel="1" x14ac:dyDescent="0.25">
      <c r="A53" s="6"/>
      <c r="B53" s="11" t="s">
        <v>25</v>
      </c>
      <c r="H53" s="8" t="s">
        <v>24</v>
      </c>
      <c r="I53" s="91" t="s">
        <v>24</v>
      </c>
      <c r="J53" s="91"/>
      <c r="K53" s="91" t="s">
        <v>24</v>
      </c>
      <c r="L53" s="91" t="s">
        <v>24</v>
      </c>
      <c r="M53" s="91" t="s">
        <v>24</v>
      </c>
      <c r="N53" s="91" t="s">
        <v>24</v>
      </c>
      <c r="O53" s="91"/>
      <c r="P53" s="91" t="s">
        <v>24</v>
      </c>
      <c r="Q53" s="91" t="s">
        <v>24</v>
      </c>
      <c r="R53" s="91" t="s">
        <v>24</v>
      </c>
      <c r="S53" s="91" t="s">
        <v>24</v>
      </c>
      <c r="T53" s="91"/>
      <c r="U53" s="91" t="s">
        <v>24</v>
      </c>
      <c r="V53" s="91" t="s">
        <v>24</v>
      </c>
      <c r="W53" s="91" t="s">
        <v>24</v>
      </c>
      <c r="X53" s="91" t="s">
        <v>24</v>
      </c>
      <c r="Y53" s="91" t="s">
        <v>24</v>
      </c>
      <c r="Z53" s="91"/>
      <c r="AA53" s="91"/>
      <c r="AB53" s="91"/>
      <c r="AC53" s="91"/>
      <c r="AD53" s="20"/>
      <c r="AE53" s="20"/>
      <c r="AF53" s="20"/>
      <c r="AG53" s="20"/>
      <c r="AH53" s="20"/>
      <c r="AI53" s="91">
        <v>5.3999999999999999E-2</v>
      </c>
      <c r="AJ53" s="91">
        <f>0.051-0.001</f>
        <v>4.9999999999999996E-2</v>
      </c>
      <c r="AK53" s="92">
        <v>5.7000000000000002E-2</v>
      </c>
      <c r="AL53" s="92">
        <v>5.1999999999999998E-2</v>
      </c>
      <c r="AM53" s="92">
        <v>4.1000000000000002E-2</v>
      </c>
      <c r="AN53" s="92">
        <v>0</v>
      </c>
    </row>
    <row r="54" spans="1:40" s="8" customFormat="1" x14ac:dyDescent="0.25">
      <c r="A54" s="6"/>
      <c r="B54" s="11"/>
      <c r="M54" s="20"/>
      <c r="N54" s="20"/>
      <c r="O54" s="161"/>
      <c r="R54" s="20"/>
      <c r="S54" s="20"/>
      <c r="T54" s="161"/>
      <c r="W54" s="20"/>
      <c r="X54" s="20"/>
      <c r="Y54" s="161"/>
      <c r="Z54" s="20"/>
      <c r="AA54" s="20"/>
      <c r="AB54" s="20"/>
      <c r="AC54" s="20"/>
      <c r="AD54" s="161"/>
      <c r="AE54" s="20"/>
      <c r="AF54" s="20"/>
      <c r="AG54" s="20"/>
      <c r="AH54" s="20"/>
      <c r="AI54" s="162"/>
      <c r="AJ54" s="162"/>
      <c r="AK54" s="12"/>
      <c r="AL54" s="12"/>
      <c r="AM54" s="12"/>
      <c r="AN54" s="12"/>
    </row>
    <row r="55" spans="1:40" x14ac:dyDescent="0.25">
      <c r="B55" s="163"/>
      <c r="I55" s="163"/>
      <c r="O55" s="159"/>
      <c r="T55" s="104"/>
      <c r="Y55" s="104"/>
      <c r="AI55" s="12"/>
    </row>
    <row r="56" spans="1:40" s="137" customFormat="1" ht="30.75" customHeight="1" x14ac:dyDescent="0.25">
      <c r="A56" s="134" t="s">
        <v>26</v>
      </c>
      <c r="B56" s="175" t="s">
        <v>130</v>
      </c>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38"/>
      <c r="AN56" s="138"/>
    </row>
    <row r="57" spans="1:40" s="137" customFormat="1" ht="33" customHeight="1" x14ac:dyDescent="0.25">
      <c r="A57" s="134" t="s">
        <v>27</v>
      </c>
      <c r="B57" s="175" t="s">
        <v>131</v>
      </c>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38"/>
      <c r="AN57" s="138"/>
    </row>
    <row r="58" spans="1:40" s="137" customFormat="1" ht="33" customHeight="1" x14ac:dyDescent="0.25">
      <c r="A58" s="134" t="s">
        <v>28</v>
      </c>
      <c r="B58" s="174" t="s">
        <v>164</v>
      </c>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35"/>
      <c r="AN58" s="135"/>
    </row>
    <row r="59" spans="1:40" s="137" customFormat="1" ht="32.25" customHeight="1" x14ac:dyDescent="0.25">
      <c r="A59" s="134" t="s">
        <v>132</v>
      </c>
      <c r="B59" s="174" t="s">
        <v>134</v>
      </c>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39"/>
      <c r="AN59" s="139"/>
    </row>
    <row r="60" spans="1:40" s="137" customFormat="1" ht="20.25" customHeight="1" x14ac:dyDescent="0.25">
      <c r="A60" s="134" t="s">
        <v>133</v>
      </c>
      <c r="B60" s="174" t="s">
        <v>135</v>
      </c>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row>
    <row r="62" spans="1:40" x14ac:dyDescent="0.25">
      <c r="B62" s="146"/>
    </row>
  </sheetData>
  <mergeCells count="6">
    <mergeCell ref="T8:AN8"/>
    <mergeCell ref="B60:AN60"/>
    <mergeCell ref="B56:AL56"/>
    <mergeCell ref="B57:AL57"/>
    <mergeCell ref="B59:AL59"/>
    <mergeCell ref="B58:AL58"/>
  </mergeCells>
  <pageMargins left="0.7" right="0.7" top="0.75" bottom="0.75" header="0.3" footer="0.3"/>
  <pageSetup scale="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45"/>
  <sheetViews>
    <sheetView showGridLines="0" zoomScale="85" zoomScaleNormal="85" zoomScaleSheetLayoutView="80" workbookViewId="0"/>
  </sheetViews>
  <sheetFormatPr baseColWidth="10" defaultColWidth="11.42578125" defaultRowHeight="15" outlineLevelCol="1" x14ac:dyDescent="0.25"/>
  <cols>
    <col min="1" max="1" width="4.42578125" style="21" customWidth="1"/>
    <col min="2" max="2" width="59.5703125" style="8" customWidth="1"/>
    <col min="3" max="3" width="1.42578125" style="27" customWidth="1"/>
    <col min="4" max="5" width="15.85546875" style="27" customWidth="1"/>
    <col min="6" max="7" width="15.7109375" style="27" customWidth="1" outlineLevel="1"/>
    <col min="8" max="9" width="15.7109375" style="8" customWidth="1" outlineLevel="1"/>
    <col min="10" max="10" width="15.7109375" style="8" customWidth="1"/>
    <col min="11" max="12" width="15.7109375" style="27" customWidth="1" outlineLevel="1"/>
    <col min="13" max="14" width="15.7109375" style="8" customWidth="1" outlineLevel="1"/>
    <col min="15" max="15" width="15.7109375" style="8" customWidth="1"/>
    <col min="16" max="17" width="15.7109375" style="27" customWidth="1" outlineLevel="1"/>
    <col min="18" max="19" width="15.7109375" style="8" customWidth="1" outlineLevel="1"/>
    <col min="20" max="20" width="15.7109375" style="8" customWidth="1"/>
    <col min="21" max="24" width="15.7109375" style="8" customWidth="1" outlineLevel="1"/>
    <col min="25" max="25" width="18" style="8" bestFit="1" customWidth="1"/>
    <col min="26" max="29" width="15.140625" style="8" customWidth="1" outlineLevel="1"/>
    <col min="30" max="30" width="15.7109375" style="8" customWidth="1"/>
    <col min="31" max="35" width="15.7109375" style="8" customWidth="1" outlineLevel="1"/>
    <col min="36" max="16384" width="11.42578125" style="8"/>
  </cols>
  <sheetData>
    <row r="1" spans="1:36" s="3" customFormat="1" x14ac:dyDescent="0.25">
      <c r="A1" s="149" t="s">
        <v>29</v>
      </c>
      <c r="B1" s="2"/>
      <c r="H1" s="4"/>
      <c r="I1" s="4"/>
      <c r="J1" s="4"/>
      <c r="M1" s="4"/>
      <c r="N1" s="4"/>
      <c r="O1" s="4"/>
      <c r="R1" s="4"/>
      <c r="S1" s="4"/>
      <c r="T1" s="4"/>
      <c r="U1" s="12"/>
      <c r="V1" s="12"/>
      <c r="W1" s="12"/>
      <c r="X1" s="12"/>
      <c r="Y1" s="12"/>
      <c r="Z1" s="12"/>
      <c r="AA1" s="12"/>
      <c r="AB1" s="12"/>
      <c r="AC1" s="12"/>
      <c r="AD1" s="12"/>
      <c r="AE1" s="12"/>
      <c r="AF1" s="4"/>
      <c r="AG1" s="4"/>
      <c r="AH1" s="4"/>
      <c r="AI1" s="4"/>
    </row>
    <row r="2" spans="1:36" s="3" customFormat="1" x14ac:dyDescent="0.25">
      <c r="A2" s="149"/>
      <c r="B2" s="145" t="s">
        <v>178</v>
      </c>
      <c r="H2" s="4"/>
      <c r="I2" s="4"/>
      <c r="J2" s="4"/>
      <c r="M2" s="4"/>
      <c r="N2" s="4"/>
      <c r="O2" s="4"/>
      <c r="R2" s="4"/>
      <c r="S2" s="4"/>
      <c r="T2" s="4"/>
      <c r="U2" s="12"/>
      <c r="V2" s="12"/>
      <c r="W2" s="12"/>
      <c r="X2" s="12"/>
      <c r="Y2" s="12"/>
      <c r="Z2" s="12"/>
      <c r="AA2" s="12"/>
      <c r="AB2" s="12"/>
      <c r="AC2" s="12"/>
      <c r="AD2" s="12"/>
      <c r="AE2" s="12"/>
      <c r="AF2" s="4"/>
      <c r="AG2" s="4"/>
      <c r="AH2" s="4"/>
      <c r="AI2" s="4"/>
    </row>
    <row r="3" spans="1:36" s="3" customFormat="1" x14ac:dyDescent="0.25">
      <c r="A3" s="149"/>
      <c r="B3" s="145" t="s">
        <v>179</v>
      </c>
      <c r="H3" s="4"/>
      <c r="I3" s="4"/>
      <c r="J3" s="4"/>
      <c r="M3" s="4"/>
      <c r="N3" s="4"/>
      <c r="O3" s="4"/>
      <c r="R3" s="4"/>
      <c r="S3" s="4"/>
      <c r="T3" s="4"/>
      <c r="U3" s="12"/>
      <c r="V3" s="12"/>
      <c r="W3" s="12"/>
      <c r="X3" s="12"/>
      <c r="Y3" s="12"/>
      <c r="Z3" s="12"/>
      <c r="AA3" s="12"/>
      <c r="AB3" s="12"/>
      <c r="AC3" s="12"/>
      <c r="AD3" s="12"/>
      <c r="AE3" s="12"/>
      <c r="AF3" s="4"/>
      <c r="AG3" s="4"/>
      <c r="AH3" s="4"/>
      <c r="AI3" s="4"/>
    </row>
    <row r="4" spans="1:36" s="3" customFormat="1" x14ac:dyDescent="0.25">
      <c r="A4" s="149"/>
      <c r="B4" s="8" t="s">
        <v>180</v>
      </c>
      <c r="H4" s="4"/>
      <c r="I4" s="4"/>
      <c r="J4" s="4"/>
      <c r="M4" s="4"/>
      <c r="N4" s="4"/>
      <c r="O4" s="4"/>
      <c r="R4" s="4"/>
      <c r="S4" s="4"/>
      <c r="T4" s="4"/>
      <c r="U4" s="12"/>
      <c r="V4" s="12"/>
      <c r="W4" s="12"/>
      <c r="X4" s="12"/>
      <c r="Y4" s="12"/>
      <c r="Z4" s="12"/>
      <c r="AA4" s="12"/>
      <c r="AB4" s="12"/>
      <c r="AC4" s="12"/>
      <c r="AD4" s="12"/>
      <c r="AE4" s="12"/>
      <c r="AF4" s="4"/>
      <c r="AG4" s="4"/>
      <c r="AH4" s="4"/>
      <c r="AI4" s="4"/>
    </row>
    <row r="5" spans="1:36" x14ac:dyDescent="0.25">
      <c r="B5" s="8" t="s">
        <v>181</v>
      </c>
    </row>
    <row r="6" spans="1:36" ht="15.75" customHeight="1" x14ac:dyDescent="0.25">
      <c r="B6" s="7" t="s">
        <v>30</v>
      </c>
      <c r="C6" s="8"/>
      <c r="D6" s="8"/>
      <c r="E6" s="178" t="s">
        <v>31</v>
      </c>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22"/>
    </row>
    <row r="7" spans="1:36" x14ac:dyDescent="0.25">
      <c r="B7" s="7" t="s">
        <v>3</v>
      </c>
      <c r="C7" s="23"/>
      <c r="D7" s="170" t="s">
        <v>185</v>
      </c>
      <c r="E7" s="121" t="s">
        <v>175</v>
      </c>
      <c r="F7" s="121" t="s">
        <v>155</v>
      </c>
      <c r="G7" s="121" t="s">
        <v>154</v>
      </c>
      <c r="H7" s="121" t="s">
        <v>153</v>
      </c>
      <c r="I7" s="121" t="s">
        <v>152</v>
      </c>
      <c r="J7" s="121" t="s">
        <v>169</v>
      </c>
      <c r="K7" s="121" t="s">
        <v>138</v>
      </c>
      <c r="L7" s="121" t="s">
        <v>139</v>
      </c>
      <c r="M7" s="121" t="s">
        <v>140</v>
      </c>
      <c r="N7" s="121" t="s">
        <v>141</v>
      </c>
      <c r="O7" s="121" t="s">
        <v>156</v>
      </c>
      <c r="P7" s="121" t="s">
        <v>120</v>
      </c>
      <c r="Q7" s="121" t="s">
        <v>121</v>
      </c>
      <c r="R7" s="121" t="s">
        <v>122</v>
      </c>
      <c r="S7" s="121" t="s">
        <v>123</v>
      </c>
      <c r="T7" s="121" t="s">
        <v>183</v>
      </c>
      <c r="U7" s="121" t="s">
        <v>103</v>
      </c>
      <c r="V7" s="121" t="s">
        <v>104</v>
      </c>
      <c r="W7" s="121" t="s">
        <v>105</v>
      </c>
      <c r="X7" s="121" t="s">
        <v>102</v>
      </c>
      <c r="Y7" s="121" t="s">
        <v>184</v>
      </c>
      <c r="Z7" s="121" t="s">
        <v>99</v>
      </c>
      <c r="AA7" s="121" t="s">
        <v>4</v>
      </c>
      <c r="AB7" s="121" t="s">
        <v>5</v>
      </c>
      <c r="AC7" s="121" t="s">
        <v>6</v>
      </c>
      <c r="AD7" s="121" t="s">
        <v>170</v>
      </c>
      <c r="AE7" s="121">
        <v>2012</v>
      </c>
      <c r="AF7" s="121">
        <v>2011</v>
      </c>
      <c r="AG7" s="121">
        <v>2010</v>
      </c>
      <c r="AH7" s="121">
        <v>2009</v>
      </c>
      <c r="AI7" s="121">
        <v>2008</v>
      </c>
      <c r="AJ7" s="22"/>
    </row>
    <row r="8" spans="1:36" ht="20.25" customHeight="1" x14ac:dyDescent="0.25">
      <c r="B8" s="10" t="s">
        <v>32</v>
      </c>
      <c r="C8" s="24"/>
      <c r="D8" s="24"/>
      <c r="E8" s="24"/>
      <c r="F8" s="24"/>
      <c r="G8" s="24"/>
      <c r="H8" s="25"/>
      <c r="I8" s="120"/>
      <c r="J8" s="25"/>
      <c r="K8" s="24"/>
      <c r="L8" s="24"/>
      <c r="M8" s="25"/>
      <c r="N8" s="120"/>
      <c r="O8" s="25"/>
      <c r="P8" s="24"/>
      <c r="Q8" s="24"/>
      <c r="R8" s="25"/>
      <c r="S8" s="120"/>
      <c r="T8" s="25"/>
      <c r="U8" s="118"/>
      <c r="V8" s="118"/>
      <c r="W8" s="118"/>
      <c r="X8" s="118"/>
      <c r="Y8" s="25"/>
      <c r="Z8" s="118"/>
      <c r="AA8" s="118"/>
      <c r="AB8" s="118"/>
      <c r="AC8" s="118"/>
      <c r="AD8" s="25"/>
      <c r="AE8" s="25"/>
      <c r="AF8" s="25"/>
      <c r="AG8" s="25"/>
      <c r="AH8" s="25"/>
      <c r="AI8" s="25"/>
      <c r="AJ8" s="25"/>
    </row>
    <row r="9" spans="1:36" ht="8.25" customHeight="1" x14ac:dyDescent="0.25">
      <c r="B9" s="11"/>
      <c r="C9" s="24"/>
      <c r="D9" s="24"/>
      <c r="E9" s="24"/>
      <c r="F9" s="24"/>
      <c r="G9" s="24"/>
      <c r="H9" s="22"/>
      <c r="I9" s="22"/>
      <c r="J9" s="22"/>
      <c r="K9" s="24"/>
      <c r="L9" s="24"/>
      <c r="M9" s="22"/>
      <c r="N9" s="22"/>
      <c r="O9" s="22"/>
      <c r="P9" s="24"/>
      <c r="Q9" s="24"/>
      <c r="R9" s="22"/>
      <c r="S9" s="22"/>
      <c r="T9" s="22"/>
      <c r="U9" s="22"/>
      <c r="V9" s="22"/>
      <c r="W9" s="22"/>
      <c r="X9" s="22"/>
      <c r="Y9" s="22"/>
      <c r="Z9" s="22"/>
      <c r="AA9" s="22"/>
      <c r="AB9" s="22"/>
      <c r="AC9" s="22"/>
      <c r="AD9" s="22"/>
      <c r="AE9" s="22"/>
      <c r="AF9" s="22"/>
      <c r="AG9" s="22"/>
      <c r="AH9" s="22"/>
      <c r="AI9" s="22"/>
      <c r="AJ9" s="22"/>
    </row>
    <row r="10" spans="1:36" x14ac:dyDescent="0.25">
      <c r="B10" s="10" t="s">
        <v>33</v>
      </c>
      <c r="C10" s="24"/>
      <c r="D10" s="26">
        <v>8646914</v>
      </c>
      <c r="E10" s="26">
        <v>8121824</v>
      </c>
      <c r="F10" s="26">
        <v>7727282.8910700008</v>
      </c>
      <c r="G10" s="26">
        <v>7127661.6081103049</v>
      </c>
      <c r="H10" s="26">
        <v>5707015.4458499979</v>
      </c>
      <c r="I10" s="26">
        <v>5769904.7866699994</v>
      </c>
      <c r="J10" s="26">
        <f t="shared" ref="J10:J16" si="0">+F10</f>
        <v>7727282.8910700008</v>
      </c>
      <c r="K10" s="26">
        <v>5622556.4139</v>
      </c>
      <c r="L10" s="26">
        <v>5626400.0384499999</v>
      </c>
      <c r="M10" s="26">
        <v>5617849.7316799974</v>
      </c>
      <c r="N10" s="26">
        <v>5413892.1170240026</v>
      </c>
      <c r="O10" s="26">
        <v>5622556.4139</v>
      </c>
      <c r="P10" s="26">
        <v>5480389.1195699982</v>
      </c>
      <c r="Q10" s="26">
        <v>5930935.9331699992</v>
      </c>
      <c r="R10" s="26">
        <v>6155690.1696999995</v>
      </c>
      <c r="S10" s="26">
        <v>6148481.0799301378</v>
      </c>
      <c r="T10" s="26">
        <v>5480389.1195699982</v>
      </c>
      <c r="U10" s="26">
        <v>6341290.1535231983</v>
      </c>
      <c r="V10" s="26">
        <v>6111749.2026393414</v>
      </c>
      <c r="W10" s="26">
        <v>7029174.587533202</v>
      </c>
      <c r="X10" s="26">
        <v>7029176.587533202</v>
      </c>
      <c r="Y10" s="26">
        <v>6341290.1535231983</v>
      </c>
      <c r="Z10" s="26">
        <v>7153162.2465386633</v>
      </c>
      <c r="AA10" s="26">
        <v>7222305.8636930343</v>
      </c>
      <c r="AB10" s="26">
        <v>7247468.3611272303</v>
      </c>
      <c r="AC10" s="26">
        <v>7284023.0549192196</v>
      </c>
      <c r="AD10" s="26">
        <v>7153162.2465386633</v>
      </c>
      <c r="AE10" s="26">
        <v>7211371.2638678476</v>
      </c>
      <c r="AF10" s="26">
        <v>5195688.4492820585</v>
      </c>
      <c r="AG10" s="26">
        <v>5600607.5756055405</v>
      </c>
      <c r="AH10" s="26">
        <v>5287744.1157308472</v>
      </c>
      <c r="AI10" s="26">
        <v>5515687.0723050507</v>
      </c>
      <c r="AJ10" s="22"/>
    </row>
    <row r="11" spans="1:36" x14ac:dyDescent="0.25">
      <c r="B11" s="11" t="s">
        <v>34</v>
      </c>
      <c r="C11" s="24"/>
      <c r="D11" s="26">
        <v>6375120</v>
      </c>
      <c r="E11" s="26">
        <v>5817609</v>
      </c>
      <c r="F11" s="26">
        <v>5349753.4760500006</v>
      </c>
      <c r="G11" s="26">
        <v>5023749.0587157989</v>
      </c>
      <c r="H11" s="26">
        <v>4160215.4117100006</v>
      </c>
      <c r="I11" s="26">
        <v>4221994.4195800005</v>
      </c>
      <c r="J11" s="26">
        <f t="shared" si="0"/>
        <v>5349753.4760500006</v>
      </c>
      <c r="K11" s="26">
        <v>4135976.9405499999</v>
      </c>
      <c r="L11" s="26">
        <v>4158669.2537799999</v>
      </c>
      <c r="M11" s="26">
        <v>4159655.71319</v>
      </c>
      <c r="N11" s="26">
        <v>4134099.8106499999</v>
      </c>
      <c r="O11" s="26">
        <v>4135976.9405499999</v>
      </c>
      <c r="P11" s="26">
        <v>4207565.5869800001</v>
      </c>
      <c r="Q11" s="26">
        <v>4437044.6921199998</v>
      </c>
      <c r="R11" s="26">
        <v>4450358.4915899998</v>
      </c>
      <c r="S11" s="26">
        <v>4435375.7035799995</v>
      </c>
      <c r="T11" s="26">
        <v>4207565.5869800001</v>
      </c>
      <c r="U11" s="26">
        <v>4481027.4430917278</v>
      </c>
      <c r="V11" s="26">
        <v>4481621.5870117284</v>
      </c>
      <c r="W11" s="26">
        <v>4515375.6107871011</v>
      </c>
      <c r="X11" s="26">
        <v>4515375.6107871011</v>
      </c>
      <c r="Y11" s="26">
        <v>4481027.4430917278</v>
      </c>
      <c r="Z11" s="26">
        <v>4708895.371787102</v>
      </c>
      <c r="AA11" s="26">
        <v>4763426.8024422666</v>
      </c>
      <c r="AB11" s="26">
        <v>4726295.3351448597</v>
      </c>
      <c r="AC11" s="26">
        <v>4593721.4837115444</v>
      </c>
      <c r="AD11" s="26">
        <v>4708895.371787102</v>
      </c>
      <c r="AE11" s="26">
        <v>4438117.4879999999</v>
      </c>
      <c r="AF11" s="26">
        <v>3969187.2995600002</v>
      </c>
      <c r="AG11" s="26">
        <v>4203684.8250000002</v>
      </c>
      <c r="AH11" s="26">
        <v>3983886.6750000003</v>
      </c>
      <c r="AI11" s="26">
        <v>4149958.8141249279</v>
      </c>
      <c r="AJ11" s="22"/>
    </row>
    <row r="12" spans="1:36" x14ac:dyDescent="0.25">
      <c r="B12" s="11" t="s">
        <v>148</v>
      </c>
      <c r="C12" s="24"/>
      <c r="D12" s="26">
        <f>+SUM(D10-D11)</f>
        <v>2271794</v>
      </c>
      <c r="E12" s="26">
        <f>+SUM(E10-E11)</f>
        <v>2304215</v>
      </c>
      <c r="F12" s="26">
        <f>+SUM(F10-F11)+1</f>
        <v>2377530.4150200002</v>
      </c>
      <c r="G12" s="26">
        <f>(+SUM(G10-G11))</f>
        <v>2103912.549394506</v>
      </c>
      <c r="H12" s="26">
        <f>((+SUM(H10-H11)))</f>
        <v>1546800.0341399973</v>
      </c>
      <c r="I12" s="26">
        <f>+SUM(I10-I11)+1</f>
        <v>1547911.3670899989</v>
      </c>
      <c r="J12" s="26">
        <f t="shared" si="0"/>
        <v>2377530.4150200002</v>
      </c>
      <c r="K12" s="26">
        <v>1486579.4733500001</v>
      </c>
      <c r="L12" s="26">
        <v>1467730.78467</v>
      </c>
      <c r="M12" s="26">
        <v>1458194.0184899974</v>
      </c>
      <c r="N12" s="26">
        <v>1279792.3063740027</v>
      </c>
      <c r="O12" s="26">
        <v>1486579.4733500001</v>
      </c>
      <c r="P12" s="26">
        <v>1272823.5325899981</v>
      </c>
      <c r="Q12" s="26">
        <v>1493891.2410499994</v>
      </c>
      <c r="R12" s="26">
        <v>1705331.6781099997</v>
      </c>
      <c r="S12" s="26">
        <v>1713105.3763501383</v>
      </c>
      <c r="T12" s="26">
        <v>1272823.5325899981</v>
      </c>
      <c r="U12" s="26">
        <v>1860262.7104314705</v>
      </c>
      <c r="V12" s="26">
        <v>1630126.6156276129</v>
      </c>
      <c r="W12" s="26">
        <v>2513798.9767461009</v>
      </c>
      <c r="X12" s="26">
        <v>2513800.9767461009</v>
      </c>
      <c r="Y12" s="26">
        <v>1860262.7104314705</v>
      </c>
      <c r="Z12" s="26">
        <v>2444266.8747515613</v>
      </c>
      <c r="AA12" s="26">
        <v>2458879.0612507677</v>
      </c>
      <c r="AB12" s="26">
        <v>2521173.0259823706</v>
      </c>
      <c r="AC12" s="26">
        <v>2690301.5712076752</v>
      </c>
      <c r="AD12" s="26">
        <v>2444266.8747515613</v>
      </c>
      <c r="AE12" s="26">
        <v>2773253.7758678477</v>
      </c>
      <c r="AF12" s="26">
        <v>1226501.1497220583</v>
      </c>
      <c r="AG12" s="26">
        <v>1396922.7506055404</v>
      </c>
      <c r="AH12" s="26">
        <v>1303857.440730847</v>
      </c>
      <c r="AI12" s="26">
        <v>1365728.2581801228</v>
      </c>
      <c r="AJ12" s="22"/>
    </row>
    <row r="13" spans="1:36" x14ac:dyDescent="0.25">
      <c r="B13" s="10" t="s">
        <v>35</v>
      </c>
      <c r="C13" s="24"/>
      <c r="D13" s="26">
        <v>4936343</v>
      </c>
      <c r="E13" s="26">
        <v>4426038</v>
      </c>
      <c r="F13" s="26">
        <v>4395283.4789300002</v>
      </c>
      <c r="G13" s="26">
        <v>4298489.9603300001</v>
      </c>
      <c r="H13" s="26">
        <v>3388543.0124699995</v>
      </c>
      <c r="I13" s="26">
        <v>3291802.6290400005</v>
      </c>
      <c r="J13" s="26">
        <f t="shared" si="0"/>
        <v>4395283.4789300002</v>
      </c>
      <c r="K13" s="26">
        <v>2700313.9503100002</v>
      </c>
      <c r="L13" s="26">
        <v>2706348.5070799999</v>
      </c>
      <c r="M13" s="26">
        <v>2529092.25031</v>
      </c>
      <c r="N13" s="26">
        <v>2600539.3854500004</v>
      </c>
      <c r="O13" s="26">
        <v>2700313.9503100002</v>
      </c>
      <c r="P13" s="26">
        <v>2582204.4909399995</v>
      </c>
      <c r="Q13" s="26">
        <v>2903814.9048299999</v>
      </c>
      <c r="R13" s="26">
        <v>3055847.1612199997</v>
      </c>
      <c r="S13" s="26">
        <v>3380614.5314800004</v>
      </c>
      <c r="T13" s="26">
        <v>2582204.4909399995</v>
      </c>
      <c r="U13" s="26">
        <v>3348868.7996075302</v>
      </c>
      <c r="V13" s="26">
        <v>3648924.2723730356</v>
      </c>
      <c r="W13" s="26">
        <v>3442605.1993475421</v>
      </c>
      <c r="X13" s="26">
        <v>3442604.1993475421</v>
      </c>
      <c r="Y13" s="26">
        <v>3348868.7996075302</v>
      </c>
      <c r="Z13" s="26">
        <v>3219461.7728766464</v>
      </c>
      <c r="AA13" s="26">
        <v>3249114.2454748438</v>
      </c>
      <c r="AB13" s="26">
        <v>3338527.8388661207</v>
      </c>
      <c r="AC13" s="26">
        <v>3538262.81536406</v>
      </c>
      <c r="AD13" s="26">
        <v>3219461.7728766464</v>
      </c>
      <c r="AE13" s="26">
        <v>3655627.9145047092</v>
      </c>
      <c r="AF13" s="26">
        <v>5547373.6447168589</v>
      </c>
      <c r="AG13" s="26">
        <v>5499306.0404242352</v>
      </c>
      <c r="AH13" s="26">
        <v>5014143.9050377887</v>
      </c>
      <c r="AI13" s="26">
        <v>5146875.8835932417</v>
      </c>
      <c r="AJ13" s="22"/>
    </row>
    <row r="14" spans="1:36" x14ac:dyDescent="0.25">
      <c r="B14" s="11" t="s">
        <v>36</v>
      </c>
      <c r="C14" s="24"/>
      <c r="D14" s="26">
        <v>777528</v>
      </c>
      <c r="E14" s="26">
        <v>250541</v>
      </c>
      <c r="F14" s="26">
        <v>337779.26933000004</v>
      </c>
      <c r="G14" s="26">
        <v>383814.43277999997</v>
      </c>
      <c r="H14" s="26">
        <v>178338.40406000003</v>
      </c>
      <c r="I14" s="26">
        <v>285966.85528999998</v>
      </c>
      <c r="J14" s="26">
        <f t="shared" si="0"/>
        <v>337779.26933000004</v>
      </c>
      <c r="K14" s="26">
        <v>183463.45815000002</v>
      </c>
      <c r="L14" s="26">
        <v>149436.88965000006</v>
      </c>
      <c r="M14" s="26">
        <v>178930.20615000001</v>
      </c>
      <c r="N14" s="26">
        <v>183618.04965</v>
      </c>
      <c r="O14" s="26">
        <v>183463.45815000002</v>
      </c>
      <c r="P14" s="26">
        <v>151490.57215000002</v>
      </c>
      <c r="Q14" s="26">
        <v>200428.03915</v>
      </c>
      <c r="R14" s="26">
        <v>263921.99764999998</v>
      </c>
      <c r="S14" s="26">
        <v>265522.62164999999</v>
      </c>
      <c r="T14" s="26">
        <v>151490.57215000002</v>
      </c>
      <c r="U14" s="26">
        <v>213303.258</v>
      </c>
      <c r="V14" s="26">
        <v>343524.73800000001</v>
      </c>
      <c r="W14" s="26">
        <v>215300.65881999998</v>
      </c>
      <c r="X14" s="26">
        <v>215300.65881999998</v>
      </c>
      <c r="Y14" s="26">
        <v>213303.258</v>
      </c>
      <c r="Z14" s="26">
        <v>307217.94885000004</v>
      </c>
      <c r="AA14" s="26">
        <v>323353.73499999999</v>
      </c>
      <c r="AB14" s="26">
        <v>385707.27232997102</v>
      </c>
      <c r="AC14" s="26">
        <v>455022.4288798903</v>
      </c>
      <c r="AD14" s="26">
        <v>307217.94885000004</v>
      </c>
      <c r="AE14" s="26">
        <v>560306.7786688921</v>
      </c>
      <c r="AF14" s="26">
        <v>2158044.3775738594</v>
      </c>
      <c r="AG14" s="26">
        <v>1779294.4770571669</v>
      </c>
      <c r="AH14" s="26">
        <v>2093799.606000213</v>
      </c>
      <c r="AI14" s="26">
        <v>1065319.3295442485</v>
      </c>
      <c r="AJ14" s="22"/>
    </row>
    <row r="15" spans="1:36" x14ac:dyDescent="0.25">
      <c r="B15" s="11" t="s">
        <v>149</v>
      </c>
      <c r="C15" s="24"/>
      <c r="D15" s="26">
        <f>+D13-D14-D16</f>
        <v>4156690</v>
      </c>
      <c r="E15" s="26">
        <f>+E13-E14-E16</f>
        <v>4173348</v>
      </c>
      <c r="F15" s="26">
        <f>+F13-F14-F16</f>
        <v>4054740.9126000004</v>
      </c>
      <c r="G15" s="26">
        <f>((+G13-G14-G16))</f>
        <v>3905014.8225500002</v>
      </c>
      <c r="H15" s="26">
        <f>((+H13-H14-H16))</f>
        <v>3200531.7314099995</v>
      </c>
      <c r="I15" s="26">
        <f>+I13-I14-I16</f>
        <v>2995560.7737500006</v>
      </c>
      <c r="J15" s="26">
        <f t="shared" si="0"/>
        <v>4054740.9126000004</v>
      </c>
      <c r="K15" s="26">
        <v>2506603.4621600006</v>
      </c>
      <c r="L15" s="26">
        <v>2545027.6734299995</v>
      </c>
      <c r="M15" s="26">
        <v>2338259.3671599999</v>
      </c>
      <c r="N15" s="26">
        <v>2404163.7098000003</v>
      </c>
      <c r="O15" s="26">
        <v>2506603.4621600006</v>
      </c>
      <c r="P15" s="26">
        <v>2419046.5817899997</v>
      </c>
      <c r="Q15" s="26">
        <v>2688830.3806799999</v>
      </c>
      <c r="R15" s="26">
        <v>2777282.9845699999</v>
      </c>
      <c r="S15" s="26">
        <v>3100393.2798300004</v>
      </c>
      <c r="T15" s="26">
        <v>2419046.5817899997</v>
      </c>
      <c r="U15" s="26">
        <v>3120809.8026075303</v>
      </c>
      <c r="V15" s="26">
        <v>3288164.8793730359</v>
      </c>
      <c r="W15" s="26">
        <v>3210094.9455275419</v>
      </c>
      <c r="X15" s="26">
        <v>3210092.9455275419</v>
      </c>
      <c r="Y15" s="26">
        <v>3120809.8026075303</v>
      </c>
      <c r="Z15" s="26">
        <v>2894473.9760266459</v>
      </c>
      <c r="AA15" s="26">
        <v>2909471.1174748437</v>
      </c>
      <c r="AB15" s="26">
        <v>2938103.5645361496</v>
      </c>
      <c r="AC15" s="26">
        <v>3068487.8044841699</v>
      </c>
      <c r="AD15" s="26">
        <v>2894473.9760266459</v>
      </c>
      <c r="AE15" s="26">
        <v>3083302.606835817</v>
      </c>
      <c r="AF15" s="26">
        <v>3378956.4981429996</v>
      </c>
      <c r="AG15" s="26">
        <v>3710050.1343670683</v>
      </c>
      <c r="AH15" s="26">
        <v>2911098.7110375757</v>
      </c>
      <c r="AI15" s="26">
        <v>4076223.658048993</v>
      </c>
      <c r="AJ15" s="22"/>
    </row>
    <row r="16" spans="1:36" ht="15" customHeight="1" x14ac:dyDescent="0.25">
      <c r="B16" s="11" t="s">
        <v>37</v>
      </c>
      <c r="C16" s="24"/>
      <c r="D16" s="26">
        <v>2125</v>
      </c>
      <c r="E16" s="26">
        <v>2149</v>
      </c>
      <c r="F16" s="26">
        <v>2763.297</v>
      </c>
      <c r="G16" s="26">
        <v>9660.7049999999999</v>
      </c>
      <c r="H16" s="26">
        <v>9672.8770000000004</v>
      </c>
      <c r="I16" s="26">
        <v>10275</v>
      </c>
      <c r="J16" s="26">
        <f t="shared" si="0"/>
        <v>2763.297</v>
      </c>
      <c r="K16" s="26">
        <v>10248.030000000001</v>
      </c>
      <c r="L16" s="26">
        <v>11883.944</v>
      </c>
      <c r="M16" s="26">
        <v>11902.677000000001</v>
      </c>
      <c r="N16" s="26">
        <v>12757.626</v>
      </c>
      <c r="O16" s="26">
        <v>10248.030000000001</v>
      </c>
      <c r="P16" s="26">
        <v>11667.337</v>
      </c>
      <c r="Q16" s="26">
        <v>14556.485000000001</v>
      </c>
      <c r="R16" s="26">
        <v>14642.179</v>
      </c>
      <c r="S16" s="26">
        <v>14698.63</v>
      </c>
      <c r="T16" s="26">
        <v>11667.337</v>
      </c>
      <c r="U16" s="26">
        <v>14755.739</v>
      </c>
      <c r="V16" s="26">
        <v>17233.654999999999</v>
      </c>
      <c r="W16" s="26">
        <v>17209.595000000001</v>
      </c>
      <c r="X16" s="26">
        <v>17209.595000000001</v>
      </c>
      <c r="Y16" s="26">
        <v>14755.739</v>
      </c>
      <c r="Z16" s="26">
        <v>17769.847999999998</v>
      </c>
      <c r="AA16" s="26">
        <v>16289.393</v>
      </c>
      <c r="AB16" s="26">
        <v>14717.002</v>
      </c>
      <c r="AC16" s="26">
        <v>14752.582</v>
      </c>
      <c r="AD16" s="26">
        <v>17769.847999999998</v>
      </c>
      <c r="AE16" s="26">
        <v>12017.529</v>
      </c>
      <c r="AF16" s="26">
        <v>10373.769</v>
      </c>
      <c r="AG16" s="26">
        <v>9961.4290000000001</v>
      </c>
      <c r="AH16" s="26">
        <v>9245.5879999999997</v>
      </c>
      <c r="AI16" s="26">
        <v>5332.8959999999997</v>
      </c>
      <c r="AJ16" s="22"/>
    </row>
    <row r="17" spans="2:36" x14ac:dyDescent="0.25">
      <c r="B17" s="11"/>
      <c r="C17" s="24"/>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2"/>
    </row>
    <row r="18" spans="2:36" x14ac:dyDescent="0.25">
      <c r="B18" s="10" t="s">
        <v>38</v>
      </c>
      <c r="C18" s="24"/>
      <c r="D18" s="26">
        <f>+D10+D13</f>
        <v>13583257</v>
      </c>
      <c r="E18" s="26">
        <f>+E10+E13</f>
        <v>12547862</v>
      </c>
      <c r="F18" s="26">
        <f>+F10+F13</f>
        <v>12122566.370000001</v>
      </c>
      <c r="G18" s="26">
        <f>(+G10+G13)</f>
        <v>11426151.568440305</v>
      </c>
      <c r="H18" s="26">
        <f>(+H10+H13)</f>
        <v>9095558.4583199974</v>
      </c>
      <c r="I18" s="26">
        <f>+I10+I13+1</f>
        <v>9061708.4157100003</v>
      </c>
      <c r="J18" s="26">
        <f>+F18</f>
        <v>12122566.370000001</v>
      </c>
      <c r="K18" s="26">
        <v>8322870.3642100003</v>
      </c>
      <c r="L18" s="26">
        <v>8332748.5455299998</v>
      </c>
      <c r="M18" s="26">
        <v>8146941.9819899974</v>
      </c>
      <c r="N18" s="26">
        <v>8014430.5024740025</v>
      </c>
      <c r="O18" s="26">
        <v>8322870.3642100003</v>
      </c>
      <c r="P18" s="26">
        <v>8062592.6105099972</v>
      </c>
      <c r="Q18" s="26">
        <v>8834750.8379999995</v>
      </c>
      <c r="R18" s="26">
        <v>9211537.3309199996</v>
      </c>
      <c r="S18" s="26">
        <v>9529095.6114101373</v>
      </c>
      <c r="T18" s="26">
        <v>8062592.6105099972</v>
      </c>
      <c r="U18" s="26">
        <v>9690158.9531307295</v>
      </c>
      <c r="V18" s="26">
        <v>9760673.4750123769</v>
      </c>
      <c r="W18" s="26">
        <v>10471779.786880745</v>
      </c>
      <c r="X18" s="26">
        <v>10471780.786880745</v>
      </c>
      <c r="Y18" s="26">
        <v>9690158.9531307295</v>
      </c>
      <c r="Z18" s="26">
        <v>10372624.01941531</v>
      </c>
      <c r="AA18" s="26">
        <v>10471420.109167878</v>
      </c>
      <c r="AB18" s="26">
        <v>10585996.199993351</v>
      </c>
      <c r="AC18" s="26">
        <v>10822285.87028328</v>
      </c>
      <c r="AD18" s="26">
        <v>10372624.01941531</v>
      </c>
      <c r="AE18" s="26">
        <v>10866999.178372556</v>
      </c>
      <c r="AF18" s="26">
        <v>10743062.093998916</v>
      </c>
      <c r="AG18" s="26">
        <v>11099913.616029777</v>
      </c>
      <c r="AH18" s="26">
        <v>10301888.020768635</v>
      </c>
      <c r="AI18" s="26">
        <v>10662562.955898292</v>
      </c>
      <c r="AJ18" s="22"/>
    </row>
    <row r="19" spans="2:36" x14ac:dyDescent="0.25">
      <c r="B19" s="11"/>
      <c r="C19" s="24"/>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2"/>
    </row>
    <row r="20" spans="2:36" ht="15" customHeight="1" x14ac:dyDescent="0.25">
      <c r="B20" s="11" t="s">
        <v>150</v>
      </c>
      <c r="C20" s="24"/>
      <c r="D20" s="26">
        <v>6630291</v>
      </c>
      <c r="E20" s="26">
        <v>6393255</v>
      </c>
      <c r="F20" s="26">
        <v>5010424.0185700012</v>
      </c>
      <c r="G20" s="26">
        <v>4888002.4661221299</v>
      </c>
      <c r="H20" s="26">
        <v>4728758.3059200021</v>
      </c>
      <c r="I20" s="26">
        <v>4683040.190840004</v>
      </c>
      <c r="J20" s="26">
        <f>+F20</f>
        <v>5010424.0185700012</v>
      </c>
      <c r="K20" s="26">
        <v>4391297.5800400013</v>
      </c>
      <c r="L20" s="26">
        <v>4310549.6707506981</v>
      </c>
      <c r="M20" s="26">
        <v>4094015.1664500004</v>
      </c>
      <c r="N20" s="26">
        <v>4071476.707104668</v>
      </c>
      <c r="O20" s="26">
        <v>4391297.5800400013</v>
      </c>
      <c r="P20" s="26">
        <v>4033148.4082079427</v>
      </c>
      <c r="Q20" s="26">
        <v>4341312.4940299988</v>
      </c>
      <c r="R20" s="26">
        <v>4464121.0761999972</v>
      </c>
      <c r="S20" s="26">
        <v>4622927.7786012916</v>
      </c>
      <c r="T20" s="26">
        <v>4033148.4082079427</v>
      </c>
      <c r="U20" s="26">
        <v>4697200.7861194313</v>
      </c>
      <c r="V20" s="26">
        <v>4730542.6828288287</v>
      </c>
      <c r="W20" s="26">
        <v>5404258.5111662028</v>
      </c>
      <c r="X20" s="26">
        <v>5404258.5111662028</v>
      </c>
      <c r="Y20" s="26">
        <v>4697200.7861194313</v>
      </c>
      <c r="Z20" s="26">
        <v>5340035.3595033148</v>
      </c>
      <c r="AA20" s="26">
        <v>5346816.9721472571</v>
      </c>
      <c r="AB20" s="26">
        <v>5306545.5360668497</v>
      </c>
      <c r="AC20" s="26">
        <v>5497954.5242879074</v>
      </c>
      <c r="AD20" s="26">
        <v>5340035.3595033148</v>
      </c>
      <c r="AE20" s="26">
        <v>5369182.8008425329</v>
      </c>
      <c r="AF20" s="26">
        <v>5711494.8981031943</v>
      </c>
      <c r="AG20" s="26">
        <v>5833245.834170307</v>
      </c>
      <c r="AH20" s="26">
        <v>5296342.0557944989</v>
      </c>
      <c r="AI20" s="26">
        <v>4597369.5784832481</v>
      </c>
      <c r="AJ20" s="22"/>
    </row>
    <row r="21" spans="2:36" x14ac:dyDescent="0.25">
      <c r="B21" s="11" t="s">
        <v>21</v>
      </c>
      <c r="C21" s="24"/>
      <c r="D21" s="26">
        <v>1137570</v>
      </c>
      <c r="E21" s="26">
        <v>1091321</v>
      </c>
      <c r="F21" s="26">
        <v>842346.75806000002</v>
      </c>
      <c r="G21" s="26">
        <v>846352.34490817972</v>
      </c>
      <c r="H21" s="26">
        <v>816593.35695000004</v>
      </c>
      <c r="I21" s="26">
        <v>834544.47818999994</v>
      </c>
      <c r="J21" s="26">
        <f>+F21</f>
        <v>842346.75806000002</v>
      </c>
      <c r="K21" s="26">
        <v>775295.46559999988</v>
      </c>
      <c r="L21" s="26">
        <v>762156.21404930146</v>
      </c>
      <c r="M21" s="26">
        <v>731592.51170999999</v>
      </c>
      <c r="N21" s="26">
        <v>713366.81503933365</v>
      </c>
      <c r="O21" s="26">
        <v>775295.46559999988</v>
      </c>
      <c r="P21" s="26">
        <v>769848.92016205587</v>
      </c>
      <c r="Q21" s="26">
        <v>888310.32831000001</v>
      </c>
      <c r="R21" s="26">
        <v>897602.73684000003</v>
      </c>
      <c r="S21" s="26">
        <v>939790.16983410355</v>
      </c>
      <c r="T21" s="26">
        <v>769848.92016205587</v>
      </c>
      <c r="U21" s="26">
        <v>937502.00399019383</v>
      </c>
      <c r="V21" s="26">
        <v>932742.00134633551</v>
      </c>
      <c r="W21" s="26">
        <v>957421.60020258033</v>
      </c>
      <c r="X21" s="26">
        <v>957421.60020258033</v>
      </c>
      <c r="Y21" s="26">
        <v>937502.00399019383</v>
      </c>
      <c r="Z21" s="26">
        <v>998008.97029874718</v>
      </c>
      <c r="AA21" s="26">
        <v>1044690.3148617717</v>
      </c>
      <c r="AB21" s="26">
        <v>1041138.841571136</v>
      </c>
      <c r="AC21" s="26">
        <v>1073734.6853312769</v>
      </c>
      <c r="AD21" s="26">
        <v>998008.97029874718</v>
      </c>
      <c r="AE21" s="26">
        <v>1065729.6521265132</v>
      </c>
      <c r="AF21" s="26">
        <v>1077054.7725073143</v>
      </c>
      <c r="AG21" s="26">
        <v>1127526.1748493386</v>
      </c>
      <c r="AH21" s="26">
        <v>964897.40624941292</v>
      </c>
      <c r="AI21" s="26">
        <v>964093.62656893639</v>
      </c>
      <c r="AJ21" s="22"/>
    </row>
    <row r="22" spans="2:36" x14ac:dyDescent="0.25">
      <c r="B22" s="11"/>
      <c r="C22" s="24"/>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2"/>
    </row>
    <row r="23" spans="2:36" x14ac:dyDescent="0.25">
      <c r="B23" s="10" t="s">
        <v>39</v>
      </c>
      <c r="C23" s="24"/>
      <c r="D23" s="26">
        <v>3670467</v>
      </c>
      <c r="E23" s="26">
        <v>3236756</v>
      </c>
      <c r="F23" s="26">
        <v>3442520.6632400001</v>
      </c>
      <c r="G23" s="26">
        <v>2865016.0520899999</v>
      </c>
      <c r="H23" s="26">
        <v>1205543.2677799999</v>
      </c>
      <c r="I23" s="26">
        <v>1288126.7193099998</v>
      </c>
      <c r="J23" s="26">
        <f>+F23</f>
        <v>3442520.6632400001</v>
      </c>
      <c r="K23" s="26">
        <v>1324784.7038399999</v>
      </c>
      <c r="L23" s="26">
        <v>1404576.7368099999</v>
      </c>
      <c r="M23" s="26">
        <v>1444473.75443</v>
      </c>
      <c r="N23" s="26">
        <v>1504093.5678199998</v>
      </c>
      <c r="O23" s="26">
        <v>1324784.7038399999</v>
      </c>
      <c r="P23" s="26">
        <v>1558978.6776200004</v>
      </c>
      <c r="Q23" s="26">
        <v>1689903.4121000001</v>
      </c>
      <c r="R23" s="26">
        <v>1790654.45407</v>
      </c>
      <c r="S23" s="26">
        <v>1921409.7673547501</v>
      </c>
      <c r="T23" s="26">
        <v>1558978.6776200004</v>
      </c>
      <c r="U23" s="26">
        <v>1964070.2190172512</v>
      </c>
      <c r="V23" s="26">
        <v>1968498.3114416543</v>
      </c>
      <c r="W23" s="26">
        <v>2137881.9501728364</v>
      </c>
      <c r="X23" s="26">
        <v>2137883.9501728364</v>
      </c>
      <c r="Y23" s="26">
        <v>1964070.2190172512</v>
      </c>
      <c r="Z23" s="26">
        <v>2185421.322855908</v>
      </c>
      <c r="AA23" s="26">
        <v>1647090.0206307413</v>
      </c>
      <c r="AB23" s="26">
        <v>2006737.9166305133</v>
      </c>
      <c r="AC23" s="26">
        <v>2019055.141841565</v>
      </c>
      <c r="AD23" s="26">
        <v>2185421.322855908</v>
      </c>
      <c r="AE23" s="26">
        <v>2306639.5470512356</v>
      </c>
      <c r="AF23" s="26">
        <v>1975128.8346522911</v>
      </c>
      <c r="AG23" s="26">
        <v>2583032.2580429786</v>
      </c>
      <c r="AH23" s="26">
        <v>2860774.5415401915</v>
      </c>
      <c r="AI23" s="26">
        <v>3364348.1413728152</v>
      </c>
      <c r="AJ23" s="22"/>
    </row>
    <row r="24" spans="2:36" x14ac:dyDescent="0.25">
      <c r="B24" s="144"/>
      <c r="C24" s="24"/>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2"/>
    </row>
    <row r="25" spans="2:36" x14ac:dyDescent="0.25">
      <c r="B25" s="11" t="s">
        <v>159</v>
      </c>
      <c r="C25" s="24"/>
      <c r="D25" s="26">
        <v>289989</v>
      </c>
      <c r="E25" s="26">
        <v>65798</v>
      </c>
      <c r="F25" s="26">
        <v>69005.402000000002</v>
      </c>
      <c r="G25" s="26">
        <v>65769.953999999998</v>
      </c>
      <c r="H25" s="26">
        <v>66510</v>
      </c>
      <c r="I25" s="26">
        <v>67236</v>
      </c>
      <c r="J25" s="26">
        <f>+F25</f>
        <v>69005.402000000002</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2"/>
    </row>
    <row r="26" spans="2:36" x14ac:dyDescent="0.25">
      <c r="B26" s="11" t="s">
        <v>40</v>
      </c>
      <c r="C26" s="24"/>
      <c r="D26" s="26">
        <v>1829147</v>
      </c>
      <c r="E26" s="26">
        <v>1637101</v>
      </c>
      <c r="F26" s="26">
        <v>1716337.3019500002</v>
      </c>
      <c r="G26" s="26">
        <v>1795421.4658400004</v>
      </c>
      <c r="H26" s="26">
        <v>291405.15377999999</v>
      </c>
      <c r="I26" s="26">
        <v>359481.59499999997</v>
      </c>
      <c r="J26" s="26">
        <f>+F26</f>
        <v>1716337.3019500002</v>
      </c>
      <c r="K26" s="26">
        <v>396741.92713000003</v>
      </c>
      <c r="L26" s="26">
        <v>484684.20535999996</v>
      </c>
      <c r="M26" s="26">
        <v>511433.07312999998</v>
      </c>
      <c r="N26" s="26">
        <v>595189.67093000002</v>
      </c>
      <c r="O26" s="26">
        <v>396741.92713000003</v>
      </c>
      <c r="P26" s="26">
        <v>607237.1335</v>
      </c>
      <c r="Q26" s="26">
        <v>709341.61846999999</v>
      </c>
      <c r="R26" s="26">
        <v>757666.73864999996</v>
      </c>
      <c r="S26" s="26">
        <v>853875.92682000005</v>
      </c>
      <c r="T26" s="26">
        <v>607237.1335</v>
      </c>
      <c r="U26" s="26">
        <v>900610.83293334115</v>
      </c>
      <c r="V26" s="26">
        <v>1034364.2079798339</v>
      </c>
      <c r="W26" s="26">
        <v>1165313.5556135965</v>
      </c>
      <c r="X26" s="26">
        <v>1165313.5556135965</v>
      </c>
      <c r="Y26" s="26">
        <v>900610.83293334115</v>
      </c>
      <c r="Z26" s="26">
        <v>1204880.0268425704</v>
      </c>
      <c r="AA26" s="26">
        <v>653133.42326394282</v>
      </c>
      <c r="AB26" s="26">
        <v>1023889.951418438</v>
      </c>
      <c r="AC26" s="26">
        <v>1017720.9095423488</v>
      </c>
      <c r="AD26" s="26">
        <v>1204880.0268425704</v>
      </c>
      <c r="AE26" s="26">
        <v>1302752.5684073761</v>
      </c>
      <c r="AF26" s="26">
        <v>948494.88299999991</v>
      </c>
      <c r="AG26" s="26">
        <v>1426573.5480000002</v>
      </c>
      <c r="AH26" s="26">
        <v>1787203.872</v>
      </c>
      <c r="AI26" s="26">
        <v>2325220.9686091607</v>
      </c>
      <c r="AJ26" s="22"/>
    </row>
    <row r="27" spans="2:36" x14ac:dyDescent="0.25">
      <c r="B27" s="11" t="s">
        <v>100</v>
      </c>
      <c r="C27" s="24"/>
      <c r="D27" s="26">
        <v>470241</v>
      </c>
      <c r="E27" s="26">
        <v>474431</v>
      </c>
      <c r="F27" s="26">
        <v>513356.99330999999</v>
      </c>
      <c r="G27" s="26">
        <v>484401.72523999988</v>
      </c>
      <c r="H27" s="26">
        <v>481518.80723999994</v>
      </c>
      <c r="I27" s="26">
        <v>515283.76381999999</v>
      </c>
      <c r="J27" s="26">
        <f>+F27</f>
        <v>513356.99330999999</v>
      </c>
      <c r="K27" s="26">
        <v>609004.45531999995</v>
      </c>
      <c r="L27" s="26">
        <v>603931.48383000004</v>
      </c>
      <c r="M27" s="26">
        <v>608698.40433000005</v>
      </c>
      <c r="N27" s="26">
        <v>568790.48932999989</v>
      </c>
      <c r="O27" s="26">
        <v>609004.45531999995</v>
      </c>
      <c r="P27" s="26">
        <v>609514.05370000005</v>
      </c>
      <c r="Q27" s="26">
        <v>633549.85120000003</v>
      </c>
      <c r="R27" s="26">
        <v>661288.53720000014</v>
      </c>
      <c r="S27" s="26">
        <v>682378.53676475014</v>
      </c>
      <c r="T27" s="26">
        <v>609514.05370000005</v>
      </c>
      <c r="U27" s="26">
        <v>670522.93233766174</v>
      </c>
      <c r="V27" s="26">
        <v>546018.83381062211</v>
      </c>
      <c r="W27" s="26">
        <v>595337.76390278409</v>
      </c>
      <c r="X27" s="26">
        <v>595337.76390278409</v>
      </c>
      <c r="Y27" s="26">
        <v>670522.93233766174</v>
      </c>
      <c r="Z27" s="26">
        <v>605882.87071560684</v>
      </c>
      <c r="AA27" s="26">
        <v>629221.18915878865</v>
      </c>
      <c r="AB27" s="26">
        <v>621164.99167814292</v>
      </c>
      <c r="AC27" s="26">
        <v>621293.9708322034</v>
      </c>
      <c r="AD27" s="26">
        <v>605882.87071560684</v>
      </c>
      <c r="AE27" s="26">
        <v>657210.86343143124</v>
      </c>
      <c r="AF27" s="26">
        <v>719060.72545986262</v>
      </c>
      <c r="AG27" s="26">
        <v>847044.24516668485</v>
      </c>
      <c r="AH27" s="26">
        <v>848215.11354019097</v>
      </c>
      <c r="AI27" s="26">
        <v>802673.97187950404</v>
      </c>
      <c r="AJ27" s="22"/>
    </row>
    <row r="28" spans="2:36" x14ac:dyDescent="0.25">
      <c r="B28" s="11" t="s">
        <v>41</v>
      </c>
      <c r="C28" s="24"/>
      <c r="D28" s="26">
        <f>+D23-SUM(D25:D27)</f>
        <v>1081090</v>
      </c>
      <c r="E28" s="26">
        <f>+E23-SUM(E25:E27)</f>
        <v>1059426</v>
      </c>
      <c r="F28" s="26">
        <f>+F23-SUM(F25:F27)+1</f>
        <v>1143821.9659799999</v>
      </c>
      <c r="G28" s="26">
        <f>+G23-SUM(G25:G27)</f>
        <v>519422.90700999973</v>
      </c>
      <c r="H28" s="26">
        <f>(+H23-SUM(H25:H27))</f>
        <v>366109.30675999995</v>
      </c>
      <c r="I28" s="26">
        <f>+I23-SUM(I25:I27)</f>
        <v>346125.36048999988</v>
      </c>
      <c r="J28" s="26">
        <f>+F28</f>
        <v>1143821.9659799999</v>
      </c>
      <c r="K28" s="26">
        <v>319039.32138999994</v>
      </c>
      <c r="L28" s="26">
        <v>315962.04761999985</v>
      </c>
      <c r="M28" s="26">
        <v>324342.27697000001</v>
      </c>
      <c r="N28" s="26">
        <v>340113.40755999996</v>
      </c>
      <c r="O28" s="26">
        <v>319039.32138999994</v>
      </c>
      <c r="P28" s="26">
        <v>342227.49042000039</v>
      </c>
      <c r="Q28" s="26">
        <v>347011.94243000005</v>
      </c>
      <c r="R28" s="26">
        <v>371699.17821999989</v>
      </c>
      <c r="S28" s="26">
        <v>385155.30376999988</v>
      </c>
      <c r="T28" s="26">
        <v>342227.49042000039</v>
      </c>
      <c r="U28" s="26">
        <v>392936.45374624827</v>
      </c>
      <c r="V28" s="26">
        <v>388115.26965119829</v>
      </c>
      <c r="W28" s="26">
        <v>377231.63065645588</v>
      </c>
      <c r="X28" s="26">
        <v>377231.63065645588</v>
      </c>
      <c r="Y28" s="26">
        <v>392936.45374624827</v>
      </c>
      <c r="Z28" s="26">
        <v>374658.4252977306</v>
      </c>
      <c r="AA28" s="26">
        <v>364736.40820800979</v>
      </c>
      <c r="AB28" s="26">
        <v>361682.97353393235</v>
      </c>
      <c r="AC28" s="26">
        <v>380040.26146701281</v>
      </c>
      <c r="AD28" s="26">
        <v>374658.4252977306</v>
      </c>
      <c r="AE28" s="26">
        <v>346676.11521242838</v>
      </c>
      <c r="AF28" s="26">
        <v>307573.22619242873</v>
      </c>
      <c r="AG28" s="26">
        <v>309414.46487629367</v>
      </c>
      <c r="AH28" s="26">
        <v>225355.5560000008</v>
      </c>
      <c r="AI28" s="26">
        <v>236453.20088415034</v>
      </c>
      <c r="AJ28" s="22"/>
    </row>
    <row r="29" spans="2:36" x14ac:dyDescent="0.25">
      <c r="B29" s="11"/>
      <c r="C29" s="24"/>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2"/>
    </row>
    <row r="30" spans="2:36" x14ac:dyDescent="0.25">
      <c r="B30" s="10" t="s">
        <v>42</v>
      </c>
      <c r="C30" s="24"/>
      <c r="D30" s="26">
        <v>2144929</v>
      </c>
      <c r="E30" s="26">
        <v>1826530</v>
      </c>
      <c r="F30" s="26">
        <v>2827273.7300699996</v>
      </c>
      <c r="G30" s="26">
        <v>2826782.3052700004</v>
      </c>
      <c r="H30" s="26">
        <v>2344663.5276299999</v>
      </c>
      <c r="I30" s="26">
        <v>2255997.0273199994</v>
      </c>
      <c r="J30" s="26">
        <f>+F30</f>
        <v>2827273.7300699996</v>
      </c>
      <c r="K30" s="26">
        <v>1831491.6146799999</v>
      </c>
      <c r="L30" s="26">
        <v>1855465.9238800001</v>
      </c>
      <c r="M30" s="26">
        <v>1876859.5503700003</v>
      </c>
      <c r="N30" s="26">
        <v>1725393.4135</v>
      </c>
      <c r="O30" s="26">
        <v>1831491.6146799999</v>
      </c>
      <c r="P30" s="26">
        <v>1700616.6044899998</v>
      </c>
      <c r="Q30" s="26">
        <v>1915225.60353</v>
      </c>
      <c r="R30" s="26">
        <v>2059159.0637800002</v>
      </c>
      <c r="S30" s="26">
        <v>2044967.8955700002</v>
      </c>
      <c r="T30" s="26">
        <v>1700616.6044899998</v>
      </c>
      <c r="U30" s="26">
        <v>2091385.9473476475</v>
      </c>
      <c r="V30" s="26">
        <v>2128890.4841765701</v>
      </c>
      <c r="W30" s="26">
        <v>1972216.7234085782</v>
      </c>
      <c r="X30" s="26">
        <v>1972215.7234085782</v>
      </c>
      <c r="Y30" s="26">
        <v>2091385.9473476475</v>
      </c>
      <c r="Z30" s="26">
        <v>1849159.3660864714</v>
      </c>
      <c r="AA30" s="26">
        <v>2432822.8014767161</v>
      </c>
      <c r="AB30" s="26">
        <v>2231572.9149341481</v>
      </c>
      <c r="AC30" s="26">
        <v>2231540.5195102054</v>
      </c>
      <c r="AD30" s="26">
        <v>1849159.3660864714</v>
      </c>
      <c r="AE30" s="26">
        <v>2125446.1773463846</v>
      </c>
      <c r="AF30" s="26">
        <v>1979382.5878744717</v>
      </c>
      <c r="AG30" s="26">
        <v>1556110.3530999999</v>
      </c>
      <c r="AH30" s="26">
        <v>1179874.0334408625</v>
      </c>
      <c r="AI30" s="26">
        <v>1736750.6091140171</v>
      </c>
      <c r="AJ30" s="22"/>
    </row>
    <row r="31" spans="2:36" x14ac:dyDescent="0.25">
      <c r="B31" s="11"/>
      <c r="C31" s="24"/>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2"/>
    </row>
    <row r="32" spans="2:36" x14ac:dyDescent="0.25">
      <c r="B32" s="11" t="s">
        <v>159</v>
      </c>
      <c r="C32" s="24"/>
      <c r="D32" s="26">
        <v>52263</v>
      </c>
      <c r="E32" s="26">
        <v>8030</v>
      </c>
      <c r="F32" s="26">
        <v>8030.3210000000008</v>
      </c>
      <c r="G32" s="26">
        <v>11666.378999999999</v>
      </c>
      <c r="H32" s="26">
        <v>9675</v>
      </c>
      <c r="I32" s="26">
        <v>7683</v>
      </c>
      <c r="J32" s="26">
        <f>+F32</f>
        <v>8030.3210000000008</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2"/>
    </row>
    <row r="33" spans="1:36" x14ac:dyDescent="0.25">
      <c r="B33" s="11" t="s">
        <v>40</v>
      </c>
      <c r="C33" s="24"/>
      <c r="D33" s="26">
        <v>726207</v>
      </c>
      <c r="E33" s="26">
        <v>399856</v>
      </c>
      <c r="F33" s="26">
        <v>1505570.42404</v>
      </c>
      <c r="G33" s="26">
        <v>1414888.2297200004</v>
      </c>
      <c r="H33" s="26">
        <v>1246640.1047899998</v>
      </c>
      <c r="I33" s="26">
        <v>998286.42894999986</v>
      </c>
      <c r="J33" s="26">
        <f>+F33</f>
        <v>1505570.42404</v>
      </c>
      <c r="K33" s="26">
        <v>821892.69260999991</v>
      </c>
      <c r="L33" s="26">
        <v>914533.24314999999</v>
      </c>
      <c r="M33" s="26">
        <v>1015868.9694800002</v>
      </c>
      <c r="N33" s="26">
        <v>833845.7339600001</v>
      </c>
      <c r="O33" s="26">
        <v>821892.69260999991</v>
      </c>
      <c r="P33" s="26">
        <v>913785.95241999987</v>
      </c>
      <c r="Q33" s="26">
        <v>982332.36303999973</v>
      </c>
      <c r="R33" s="26">
        <v>1175731.6394700001</v>
      </c>
      <c r="S33" s="26">
        <v>1103333.8823599999</v>
      </c>
      <c r="T33" s="26">
        <v>913785.95241999987</v>
      </c>
      <c r="U33" s="26">
        <v>1264207.7010785872</v>
      </c>
      <c r="V33" s="26">
        <v>1087496.8482645312</v>
      </c>
      <c r="W33" s="26">
        <v>833695.86478392896</v>
      </c>
      <c r="X33" s="26">
        <v>833695.86478392896</v>
      </c>
      <c r="Y33" s="26">
        <v>1264207.7010785872</v>
      </c>
      <c r="Z33" s="26">
        <v>797944.4122998541</v>
      </c>
      <c r="AA33" s="26">
        <v>1442725.0063423098</v>
      </c>
      <c r="AB33" s="26">
        <v>1207697.4530478178</v>
      </c>
      <c r="AC33" s="26">
        <v>1122611.3197004029</v>
      </c>
      <c r="AD33" s="26">
        <v>797944.4122998541</v>
      </c>
      <c r="AE33" s="26">
        <v>1121609.6609026243</v>
      </c>
      <c r="AF33" s="26">
        <v>1047640.60309</v>
      </c>
      <c r="AG33" s="26">
        <v>513082.73399999994</v>
      </c>
      <c r="AH33" s="26">
        <v>538831.54946999985</v>
      </c>
      <c r="AI33" s="26">
        <v>940667.02702754398</v>
      </c>
      <c r="AJ33" s="22"/>
    </row>
    <row r="34" spans="1:36" x14ac:dyDescent="0.25">
      <c r="B34" s="11" t="s">
        <v>43</v>
      </c>
      <c r="C34" s="24"/>
      <c r="D34" s="26">
        <f>+D30-SUM(D32:D33)</f>
        <v>1366459</v>
      </c>
      <c r="E34" s="26">
        <f>+E30-SUM(E32:E33)</f>
        <v>1418644</v>
      </c>
      <c r="F34" s="26">
        <f>+F30-SUM(F32:F33)+1</f>
        <v>1313673.9850299996</v>
      </c>
      <c r="G34" s="26">
        <f>+G30-SUM(G32:G33)</f>
        <v>1400227.69655</v>
      </c>
      <c r="H34" s="26">
        <f>+H30-SUM(H32:H33)+0.5</f>
        <v>1088348.9228400001</v>
      </c>
      <c r="I34" s="26">
        <f t="shared" ref="I34" si="1">+I30-SUM(I32:I33)</f>
        <v>1250027.5983699996</v>
      </c>
      <c r="J34" s="26">
        <f>+F34</f>
        <v>1313673.9850299996</v>
      </c>
      <c r="K34" s="26">
        <v>1009598.92207</v>
      </c>
      <c r="L34" s="26">
        <v>940932.68073000014</v>
      </c>
      <c r="M34" s="26">
        <v>860990.5808900001</v>
      </c>
      <c r="N34" s="26">
        <v>891547.67953999992</v>
      </c>
      <c r="O34" s="26">
        <v>1009598.92207</v>
      </c>
      <c r="P34" s="26">
        <v>786830.65206999995</v>
      </c>
      <c r="Q34" s="26">
        <v>932893.24049000023</v>
      </c>
      <c r="R34" s="26">
        <v>883427.42431000015</v>
      </c>
      <c r="S34" s="26">
        <v>941634.01321000024</v>
      </c>
      <c r="T34" s="26">
        <v>786830.65206999995</v>
      </c>
      <c r="U34" s="26">
        <v>827178.2462690603</v>
      </c>
      <c r="V34" s="26">
        <v>1041392.6359120389</v>
      </c>
      <c r="W34" s="26">
        <v>1138520.8586246492</v>
      </c>
      <c r="X34" s="26">
        <v>1138519.8586246492</v>
      </c>
      <c r="Y34" s="26">
        <v>827178.2462690603</v>
      </c>
      <c r="Z34" s="26">
        <v>1051214.9537866171</v>
      </c>
      <c r="AA34" s="26">
        <v>990097.7951344063</v>
      </c>
      <c r="AB34" s="26">
        <v>1023876.4618863303</v>
      </c>
      <c r="AC34" s="26">
        <v>1108930.1998098025</v>
      </c>
      <c r="AD34" s="26">
        <v>1051214.9537866171</v>
      </c>
      <c r="AE34" s="26">
        <v>1003835.5164437604</v>
      </c>
      <c r="AF34" s="26">
        <v>931741.98478447169</v>
      </c>
      <c r="AG34" s="26">
        <v>1043027.6191</v>
      </c>
      <c r="AH34" s="26">
        <v>641042.4839708627</v>
      </c>
      <c r="AI34" s="26">
        <v>796083.58208647312</v>
      </c>
      <c r="AJ34" s="22"/>
    </row>
    <row r="35" spans="1:36" x14ac:dyDescent="0.25">
      <c r="B35" s="11"/>
      <c r="C35" s="24"/>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2"/>
    </row>
    <row r="36" spans="1:36" x14ac:dyDescent="0.25">
      <c r="B36" s="10" t="s">
        <v>44</v>
      </c>
      <c r="C36" s="24"/>
      <c r="D36" s="26">
        <f>+D23+D30</f>
        <v>5815396</v>
      </c>
      <c r="E36" s="26">
        <f>+E23+E30</f>
        <v>5063286</v>
      </c>
      <c r="F36" s="26">
        <f>+F23+F30+1</f>
        <v>6269795.3933099993</v>
      </c>
      <c r="G36" s="26">
        <f>(+G23+G30)</f>
        <v>5691798.3573599998</v>
      </c>
      <c r="H36" s="26">
        <f>+H23+H30</f>
        <v>3550206.7954099998</v>
      </c>
      <c r="I36" s="26">
        <f>+I23+I30</f>
        <v>3544123.746629999</v>
      </c>
      <c r="J36" s="26">
        <f>+F36</f>
        <v>6269795.3933099993</v>
      </c>
      <c r="K36" s="26">
        <v>3156277.3185199997</v>
      </c>
      <c r="L36" s="26">
        <v>3260042.6606900003</v>
      </c>
      <c r="M36" s="26">
        <v>3321334.3048</v>
      </c>
      <c r="N36" s="26">
        <v>3229486.9813199998</v>
      </c>
      <c r="O36" s="26">
        <v>3156277.3185199997</v>
      </c>
      <c r="P36" s="26">
        <v>3259595.78211</v>
      </c>
      <c r="Q36" s="26">
        <v>3605129.0156300003</v>
      </c>
      <c r="R36" s="26">
        <v>3849812.5178500004</v>
      </c>
      <c r="S36" s="26">
        <v>3966377.6629247502</v>
      </c>
      <c r="T36" s="26">
        <v>3259595.78211</v>
      </c>
      <c r="U36" s="26">
        <v>4055456.1663648989</v>
      </c>
      <c r="V36" s="26">
        <v>4097387.7956182244</v>
      </c>
      <c r="W36" s="26">
        <v>4110099.6735814149</v>
      </c>
      <c r="X36" s="26">
        <v>4110099.6735814149</v>
      </c>
      <c r="Y36" s="26">
        <v>4055456.1663648989</v>
      </c>
      <c r="Z36" s="26">
        <v>4034579.6889423793</v>
      </c>
      <c r="AA36" s="26">
        <v>4079912.8221074576</v>
      </c>
      <c r="AB36" s="26">
        <v>4238310.8315646611</v>
      </c>
      <c r="AC36" s="26">
        <v>4250595.6613517702</v>
      </c>
      <c r="AD36" s="26">
        <v>4034579.6889423793</v>
      </c>
      <c r="AE36" s="26">
        <v>4432085.7243976202</v>
      </c>
      <c r="AF36" s="26">
        <v>3954512.4225267628</v>
      </c>
      <c r="AG36" s="26">
        <v>4139141.6111429785</v>
      </c>
      <c r="AH36" s="26">
        <v>4040648.5749810543</v>
      </c>
      <c r="AI36" s="26">
        <v>5101098.7504868321</v>
      </c>
      <c r="AJ36" s="22"/>
    </row>
    <row r="37" spans="1:36" x14ac:dyDescent="0.25">
      <c r="B37" s="10" t="s">
        <v>45</v>
      </c>
      <c r="C37" s="24"/>
      <c r="D37" s="26">
        <f>+SUM(D20:D21)+D36</f>
        <v>13583257</v>
      </c>
      <c r="E37" s="26">
        <f>+SUM(E20:E21)+E36</f>
        <v>12547862</v>
      </c>
      <c r="F37" s="26">
        <f>+SUM(F20:F21)+F36</f>
        <v>12122566.16994</v>
      </c>
      <c r="G37" s="26">
        <f>+SUM(G20:G21)+G36-0.7</f>
        <v>11426152.46839031</v>
      </c>
      <c r="H37" s="26">
        <f>+SUM(H20:H21)+H36</f>
        <v>9095558.4582800008</v>
      </c>
      <c r="I37" s="26">
        <f>+SUM(I20:I21)+I36</f>
        <v>9061708.4156600032</v>
      </c>
      <c r="J37" s="26">
        <f>+F37</f>
        <v>12122566.16994</v>
      </c>
      <c r="K37" s="26">
        <v>8322870.3641600013</v>
      </c>
      <c r="L37" s="26">
        <v>8332748.5454899995</v>
      </c>
      <c r="M37" s="26">
        <v>8146941.9829600006</v>
      </c>
      <c r="N37" s="26">
        <v>8014330.5034640022</v>
      </c>
      <c r="O37" s="26">
        <v>8322870.3641600013</v>
      </c>
      <c r="P37" s="26">
        <v>8062593.1104799984</v>
      </c>
      <c r="Q37" s="26">
        <v>8834750.8379699998</v>
      </c>
      <c r="R37" s="26">
        <v>9211537.330889998</v>
      </c>
      <c r="S37" s="26">
        <v>9529095.6113601457</v>
      </c>
      <c r="T37" s="26">
        <v>8062593.1104799984</v>
      </c>
      <c r="U37" s="26">
        <v>9690158.956474524</v>
      </c>
      <c r="V37" s="26">
        <v>9760673.4797933884</v>
      </c>
      <c r="W37" s="26">
        <v>10471779.784950197</v>
      </c>
      <c r="X37" s="26">
        <v>10471780.784950197</v>
      </c>
      <c r="Y37" s="26">
        <v>9690158.956474524</v>
      </c>
      <c r="Z37" s="26">
        <v>10372624.018744443</v>
      </c>
      <c r="AA37" s="26">
        <v>10471420.109116487</v>
      </c>
      <c r="AB37" s="26">
        <v>10585996.209202647</v>
      </c>
      <c r="AC37" s="26">
        <v>10822285.870970953</v>
      </c>
      <c r="AD37" s="26">
        <v>10372624.018744443</v>
      </c>
      <c r="AE37" s="26">
        <v>10866999.177366666</v>
      </c>
      <c r="AF37" s="26">
        <v>10743062.093137272</v>
      </c>
      <c r="AG37" s="26">
        <v>11099913.620162625</v>
      </c>
      <c r="AH37" s="26">
        <v>10301888.037024967</v>
      </c>
      <c r="AI37" s="26">
        <v>10662562.955539018</v>
      </c>
      <c r="AJ37" s="22"/>
    </row>
    <row r="38" spans="1:36" x14ac:dyDescent="0.25">
      <c r="B38" s="11"/>
      <c r="C38" s="24"/>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x14ac:dyDescent="0.25">
      <c r="B39" s="11" t="s">
        <v>151</v>
      </c>
      <c r="C39" s="24"/>
      <c r="D39" s="18">
        <v>1963076776</v>
      </c>
      <c r="E39" s="18">
        <v>1963076776</v>
      </c>
      <c r="F39" s="18">
        <f>+'Consolidated Income Statement'!K46</f>
        <v>1963076776</v>
      </c>
      <c r="G39" s="18">
        <f>(+'Consolidated Income Statement'!L46)</f>
        <v>1963076776</v>
      </c>
      <c r="H39" s="18">
        <f>+'Consolidated Income Statement'!M46</f>
        <v>1963076776</v>
      </c>
      <c r="I39" s="18">
        <f>+'Consolidated Income Statement'!N46</f>
        <v>1963076776</v>
      </c>
      <c r="J39" s="26">
        <f>+F39</f>
        <v>1963076776</v>
      </c>
      <c r="K39" s="26">
        <v>1963076776</v>
      </c>
      <c r="L39" s="26">
        <v>1963076776</v>
      </c>
      <c r="M39" s="26">
        <v>1963076776</v>
      </c>
      <c r="N39" s="26">
        <v>1963076776</v>
      </c>
      <c r="O39" s="26">
        <v>1963076776</v>
      </c>
      <c r="P39" s="26">
        <v>1963076776</v>
      </c>
      <c r="Q39" s="26">
        <v>1963076776</v>
      </c>
      <c r="R39" s="26">
        <v>1963076776</v>
      </c>
      <c r="S39" s="26">
        <v>1963076776</v>
      </c>
      <c r="T39" s="26">
        <v>1963076776</v>
      </c>
      <c r="U39" s="26">
        <v>1963076776</v>
      </c>
      <c r="V39" s="26">
        <v>1963076776</v>
      </c>
      <c r="W39" s="26">
        <v>1963076776</v>
      </c>
      <c r="X39" s="26">
        <v>1963076776</v>
      </c>
      <c r="Y39" s="26">
        <v>1963076776</v>
      </c>
      <c r="Z39" s="26">
        <v>1963076776</v>
      </c>
      <c r="AA39" s="26">
        <v>1963076776</v>
      </c>
      <c r="AB39" s="26">
        <v>1963076776</v>
      </c>
      <c r="AC39" s="26">
        <v>1963076776</v>
      </c>
      <c r="AD39" s="26">
        <v>1963076776</v>
      </c>
      <c r="AE39" s="26">
        <v>1963076776</v>
      </c>
      <c r="AF39" s="26">
        <v>1963076776</v>
      </c>
      <c r="AG39" s="26">
        <v>2004743442</v>
      </c>
      <c r="AH39" s="26">
        <v>2004743442</v>
      </c>
      <c r="AI39" s="26">
        <v>2004743442</v>
      </c>
      <c r="AJ39" s="22"/>
    </row>
    <row r="41" spans="1:36" x14ac:dyDescent="0.25">
      <c r="E41" s="165"/>
      <c r="H41" s="28"/>
      <c r="I41" s="28"/>
      <c r="J41" s="28"/>
      <c r="M41" s="28"/>
      <c r="N41" s="28"/>
      <c r="O41" s="28"/>
      <c r="R41" s="28"/>
      <c r="S41" s="28"/>
      <c r="T41" s="28"/>
      <c r="U41" s="28"/>
      <c r="V41" s="28"/>
      <c r="W41" s="28"/>
      <c r="X41" s="28"/>
      <c r="Y41" s="28"/>
      <c r="Z41" s="28"/>
      <c r="AA41" s="28"/>
      <c r="AB41" s="28"/>
      <c r="AC41" s="28"/>
      <c r="AD41" s="28"/>
      <c r="AE41" s="28"/>
    </row>
    <row r="42" spans="1:36" s="137" customFormat="1" ht="29.25" customHeight="1" x14ac:dyDescent="0.25">
      <c r="A42" s="134" t="s">
        <v>26</v>
      </c>
      <c r="B42" s="176" t="s">
        <v>200</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row>
    <row r="43" spans="1:36" s="137" customFormat="1" ht="32.25" customHeight="1" x14ac:dyDescent="0.25">
      <c r="A43" s="134" t="s">
        <v>27</v>
      </c>
      <c r="B43" s="174" t="s">
        <v>176</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35"/>
      <c r="AI43" s="135"/>
    </row>
    <row r="44" spans="1:36" s="137" customFormat="1" ht="32.25" customHeight="1" x14ac:dyDescent="0.25">
      <c r="A44" s="134" t="s">
        <v>28</v>
      </c>
      <c r="B44" s="174" t="s">
        <v>177</v>
      </c>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35"/>
      <c r="AI44" s="135"/>
    </row>
    <row r="45" spans="1:36" x14ac:dyDescent="0.25">
      <c r="H45" s="29"/>
      <c r="I45" s="29"/>
      <c r="J45" s="29"/>
      <c r="M45" s="29"/>
      <c r="N45" s="29"/>
      <c r="O45" s="29"/>
      <c r="R45" s="29"/>
      <c r="S45" s="29"/>
      <c r="T45" s="29"/>
      <c r="U45" s="29"/>
      <c r="V45" s="29"/>
      <c r="W45" s="29"/>
      <c r="X45" s="29"/>
      <c r="Y45" s="29"/>
      <c r="Z45" s="29"/>
      <c r="AA45" s="29"/>
      <c r="AB45" s="29"/>
      <c r="AC45" s="29"/>
      <c r="AD45" s="29"/>
      <c r="AE45" s="29"/>
      <c r="AF45" s="29"/>
      <c r="AG45" s="29"/>
      <c r="AH45" s="29"/>
      <c r="AI45" s="29"/>
      <c r="AJ45" s="29"/>
    </row>
  </sheetData>
  <mergeCells count="4">
    <mergeCell ref="B42:AG42"/>
    <mergeCell ref="B43:AG43"/>
    <mergeCell ref="B44:AG44"/>
    <mergeCell ref="E6:AI6"/>
  </mergeCells>
  <pageMargins left="0.7" right="0.7"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65"/>
  <sheetViews>
    <sheetView showGridLines="0" zoomScale="85" zoomScaleNormal="85" zoomScaleSheetLayoutView="80" workbookViewId="0">
      <pane xSplit="3" ySplit="7" topLeftCell="D27" activePane="bottomRight" state="frozen"/>
      <selection activeCell="I7" sqref="I7"/>
      <selection pane="topRight" activeCell="I7" sqref="I7"/>
      <selection pane="bottomLeft" activeCell="I7" sqref="I7"/>
      <selection pane="bottomRight" activeCell="B41" sqref="B41"/>
    </sheetView>
  </sheetViews>
  <sheetFormatPr baseColWidth="10" defaultColWidth="11.42578125" defaultRowHeight="15" outlineLevelRow="1" outlineLevelCol="1" x14ac:dyDescent="0.25"/>
  <cols>
    <col min="1" max="1" width="4.28515625" style="3" customWidth="1"/>
    <col min="2" max="2" width="67.5703125" style="3" customWidth="1"/>
    <col min="3" max="3" width="2.28515625" style="3" customWidth="1"/>
    <col min="4" max="5" width="14" style="8" customWidth="1"/>
    <col min="6" max="7" width="13.140625" style="3" customWidth="1" outlineLevel="1"/>
    <col min="8" max="9" width="14" style="44" customWidth="1" outlineLevel="1"/>
    <col min="10" max="10" width="14" style="35" customWidth="1"/>
    <col min="11" max="12" width="13.140625" style="3" customWidth="1" outlineLevel="1"/>
    <col min="13" max="14" width="14" style="44" customWidth="1" outlineLevel="1"/>
    <col min="15" max="15" width="14" style="44" customWidth="1"/>
    <col min="16" max="17" width="13.140625" style="3" customWidth="1" outlineLevel="1"/>
    <col min="18" max="19" width="14" style="44" customWidth="1" outlineLevel="1"/>
    <col min="20" max="20" width="14" style="44" customWidth="1"/>
    <col min="21" max="24" width="14" style="35" customWidth="1" outlineLevel="1"/>
    <col min="25" max="25" width="14" style="35" customWidth="1"/>
    <col min="26" max="29" width="14" style="35" customWidth="1" outlineLevel="1"/>
    <col min="30" max="30" width="14" style="44" customWidth="1"/>
    <col min="31" max="35" width="14" style="44" customWidth="1" outlineLevel="1"/>
    <col min="36" max="16384" width="11.42578125" style="3"/>
  </cols>
  <sheetData>
    <row r="1" spans="1:35" ht="15.75" x14ac:dyDescent="0.25">
      <c r="A1" s="1" t="s">
        <v>46</v>
      </c>
      <c r="B1" s="2"/>
      <c r="H1" s="4"/>
      <c r="I1" s="4"/>
      <c r="J1" s="12"/>
      <c r="M1" s="4"/>
      <c r="N1" s="4"/>
      <c r="O1" s="4"/>
      <c r="R1" s="4"/>
      <c r="S1" s="4"/>
      <c r="T1" s="4"/>
      <c r="U1" s="12"/>
      <c r="V1" s="12"/>
      <c r="W1" s="12"/>
      <c r="X1" s="12"/>
      <c r="Y1" s="12"/>
      <c r="Z1" s="12"/>
      <c r="AA1" s="12"/>
      <c r="AB1" s="12"/>
      <c r="AC1" s="12"/>
      <c r="AD1" s="4"/>
      <c r="AE1" s="4"/>
      <c r="AF1" s="4"/>
      <c r="AG1" s="4"/>
      <c r="AH1" s="4"/>
      <c r="AI1" s="4"/>
    </row>
    <row r="2" spans="1:35" ht="15.75" x14ac:dyDescent="0.25">
      <c r="A2" s="1"/>
      <c r="H2" s="4"/>
      <c r="I2" s="4"/>
      <c r="J2" s="12"/>
      <c r="M2" s="4"/>
      <c r="N2" s="4"/>
      <c r="O2" s="4"/>
      <c r="R2" s="4"/>
      <c r="S2" s="4"/>
      <c r="T2" s="4"/>
      <c r="U2" s="12"/>
      <c r="V2" s="12"/>
      <c r="W2" s="12"/>
      <c r="X2" s="12"/>
      <c r="Y2" s="12"/>
      <c r="Z2" s="12"/>
      <c r="AA2" s="12"/>
      <c r="AB2" s="12"/>
      <c r="AC2" s="12"/>
      <c r="AD2" s="4"/>
      <c r="AE2" s="4"/>
      <c r="AF2" s="4"/>
      <c r="AG2" s="4"/>
      <c r="AH2" s="4"/>
      <c r="AI2" s="4"/>
    </row>
    <row r="3" spans="1:35" ht="15.75" x14ac:dyDescent="0.25">
      <c r="A3" s="1"/>
      <c r="B3" s="145" t="s">
        <v>178</v>
      </c>
      <c r="C3" s="8"/>
      <c r="F3" s="8"/>
      <c r="G3" s="8"/>
      <c r="H3" s="12"/>
      <c r="I3" s="12"/>
      <c r="J3" s="12"/>
      <c r="K3" s="8"/>
      <c r="L3" s="8"/>
      <c r="M3" s="12"/>
      <c r="N3" s="12"/>
      <c r="O3" s="12"/>
      <c r="P3" s="8"/>
      <c r="Q3" s="8"/>
      <c r="R3" s="12"/>
      <c r="S3" s="12"/>
      <c r="T3" s="12"/>
      <c r="U3" s="12"/>
      <c r="V3" s="12"/>
      <c r="W3" s="12"/>
      <c r="X3" s="12"/>
      <c r="Y3" s="12"/>
      <c r="Z3" s="12"/>
      <c r="AA3" s="12"/>
      <c r="AB3" s="12"/>
      <c r="AC3" s="12"/>
      <c r="AD3" s="12"/>
      <c r="AE3" s="12"/>
      <c r="AF3" s="12"/>
      <c r="AG3" s="12"/>
      <c r="AH3" s="4"/>
      <c r="AI3" s="4"/>
    </row>
    <row r="4" spans="1:35" ht="15.75" x14ac:dyDescent="0.25">
      <c r="A4" s="1"/>
      <c r="B4" s="145" t="s">
        <v>179</v>
      </c>
      <c r="H4" s="4"/>
      <c r="I4" s="4"/>
      <c r="J4" s="12"/>
      <c r="M4" s="4"/>
      <c r="N4" s="4"/>
      <c r="O4" s="4"/>
      <c r="R4" s="4"/>
      <c r="S4" s="4"/>
      <c r="T4" s="4"/>
      <c r="U4" s="12"/>
      <c r="V4" s="12"/>
      <c r="W4" s="12"/>
      <c r="X4" s="12"/>
      <c r="Y4" s="12"/>
      <c r="Z4" s="12"/>
      <c r="AA4" s="12"/>
      <c r="AB4" s="12"/>
      <c r="AC4" s="12"/>
      <c r="AD4" s="4"/>
      <c r="AE4" s="4"/>
      <c r="AF4" s="4"/>
      <c r="AG4" s="93"/>
      <c r="AH4" s="4"/>
      <c r="AI4" s="4"/>
    </row>
    <row r="5" spans="1:35" s="8" customFormat="1" x14ac:dyDescent="0.25">
      <c r="A5" s="21"/>
      <c r="B5" s="8" t="s">
        <v>180</v>
      </c>
      <c r="C5" s="27"/>
      <c r="D5" s="27"/>
      <c r="E5" s="27"/>
      <c r="F5" s="27"/>
      <c r="G5" s="27"/>
      <c r="K5" s="27"/>
      <c r="L5" s="27"/>
      <c r="P5" s="27"/>
      <c r="Q5" s="27"/>
    </row>
    <row r="6" spans="1:35" ht="15" customHeight="1" x14ac:dyDescent="0.25">
      <c r="B6" s="8" t="s">
        <v>181</v>
      </c>
      <c r="C6" s="13"/>
      <c r="D6" s="13"/>
      <c r="E6" s="13"/>
      <c r="F6" s="13"/>
      <c r="G6" s="13"/>
      <c r="H6" s="13"/>
      <c r="I6" s="13"/>
      <c r="J6" s="13"/>
      <c r="K6" s="13"/>
      <c r="L6" s="13"/>
      <c r="M6" s="13"/>
      <c r="N6" s="13"/>
      <c r="O6" s="179" t="s">
        <v>2</v>
      </c>
      <c r="P6" s="179"/>
      <c r="Q6" s="179"/>
      <c r="R6" s="179"/>
      <c r="S6" s="179"/>
      <c r="T6" s="179"/>
      <c r="U6" s="179"/>
      <c r="V6" s="179"/>
      <c r="W6" s="179"/>
      <c r="X6" s="179"/>
      <c r="Y6" s="179"/>
      <c r="Z6" s="179"/>
      <c r="AA6" s="179"/>
      <c r="AB6" s="179"/>
      <c r="AC6" s="179"/>
      <c r="AD6" s="179"/>
      <c r="AE6" s="179"/>
      <c r="AF6" s="179"/>
      <c r="AG6" s="179"/>
      <c r="AH6" s="179"/>
      <c r="AI6" s="179"/>
    </row>
    <row r="7" spans="1:35" x14ac:dyDescent="0.25">
      <c r="B7" s="30" t="s">
        <v>30</v>
      </c>
      <c r="C7" s="31"/>
      <c r="D7" s="167" t="s">
        <v>186</v>
      </c>
      <c r="E7" s="9" t="s">
        <v>175</v>
      </c>
      <c r="F7" s="121" t="s">
        <v>155</v>
      </c>
      <c r="G7" s="121" t="s">
        <v>154</v>
      </c>
      <c r="H7" s="121" t="s">
        <v>153</v>
      </c>
      <c r="I7" s="121" t="s">
        <v>152</v>
      </c>
      <c r="J7" s="121" t="s">
        <v>169</v>
      </c>
      <c r="K7" s="121" t="s">
        <v>138</v>
      </c>
      <c r="L7" s="121" t="s">
        <v>139</v>
      </c>
      <c r="M7" s="121" t="s">
        <v>140</v>
      </c>
      <c r="N7" s="121" t="s">
        <v>141</v>
      </c>
      <c r="O7" s="121" t="s">
        <v>156</v>
      </c>
      <c r="P7" s="121" t="s">
        <v>120</v>
      </c>
      <c r="Q7" s="121" t="s">
        <v>121</v>
      </c>
      <c r="R7" s="121" t="s">
        <v>122</v>
      </c>
      <c r="S7" s="121" t="s">
        <v>123</v>
      </c>
      <c r="T7" s="121" t="s">
        <v>183</v>
      </c>
      <c r="U7" s="121" t="s">
        <v>103</v>
      </c>
      <c r="V7" s="121" t="s">
        <v>104</v>
      </c>
      <c r="W7" s="121" t="s">
        <v>105</v>
      </c>
      <c r="X7" s="121" t="s">
        <v>102</v>
      </c>
      <c r="Y7" s="121" t="s">
        <v>184</v>
      </c>
      <c r="Z7" s="121" t="s">
        <v>99</v>
      </c>
      <c r="AA7" s="121" t="s">
        <v>4</v>
      </c>
      <c r="AB7" s="121" t="s">
        <v>5</v>
      </c>
      <c r="AC7" s="121" t="s">
        <v>6</v>
      </c>
      <c r="AD7" s="121" t="s">
        <v>170</v>
      </c>
      <c r="AE7" s="121">
        <v>2012</v>
      </c>
      <c r="AF7" s="121">
        <v>2011</v>
      </c>
      <c r="AG7" s="9">
        <v>2010</v>
      </c>
      <c r="AH7" s="9">
        <v>2009</v>
      </c>
      <c r="AI7" s="9">
        <v>2008</v>
      </c>
    </row>
    <row r="8" spans="1:35" x14ac:dyDescent="0.25">
      <c r="B8" s="32"/>
      <c r="C8" s="31"/>
      <c r="D8" s="31"/>
      <c r="E8" s="31"/>
      <c r="F8" s="13"/>
      <c r="G8" s="13"/>
      <c r="H8" s="13"/>
      <c r="I8" s="13"/>
      <c r="J8" s="13"/>
      <c r="K8" s="13"/>
      <c r="L8" s="13"/>
      <c r="M8" s="13"/>
      <c r="N8" s="13"/>
      <c r="O8" s="13"/>
      <c r="P8" s="13"/>
      <c r="Q8" s="13"/>
      <c r="R8" s="13"/>
      <c r="S8" s="13"/>
      <c r="T8" s="13"/>
      <c r="U8" s="13"/>
      <c r="V8" s="13"/>
      <c r="W8" s="13"/>
      <c r="X8" s="13"/>
      <c r="Y8" s="13"/>
      <c r="Z8" s="116"/>
      <c r="AA8" s="116"/>
      <c r="AB8" s="116"/>
      <c r="AC8" s="116"/>
      <c r="AD8" s="33"/>
      <c r="AE8" s="33"/>
      <c r="AF8" s="33"/>
      <c r="AG8" s="33"/>
      <c r="AH8" s="33"/>
      <c r="AI8" s="33"/>
    </row>
    <row r="9" spans="1:35" x14ac:dyDescent="0.25">
      <c r="B9" s="34" t="s">
        <v>162</v>
      </c>
      <c r="C9" s="31"/>
      <c r="D9" s="35">
        <v>429912.94874999998</v>
      </c>
      <c r="E9" s="35">
        <v>1662132</v>
      </c>
      <c r="F9" s="35">
        <v>198018</v>
      </c>
      <c r="G9" s="35">
        <v>232731</v>
      </c>
      <c r="H9" s="35">
        <v>281789</v>
      </c>
      <c r="I9" s="35">
        <v>310389</v>
      </c>
      <c r="J9" s="35">
        <v>1022927</v>
      </c>
      <c r="K9" s="35">
        <v>144761</v>
      </c>
      <c r="L9" s="35">
        <v>264333</v>
      </c>
      <c r="M9" s="35">
        <v>174253</v>
      </c>
      <c r="N9" s="35">
        <v>123582</v>
      </c>
      <c r="O9" s="35">
        <v>706929</v>
      </c>
      <c r="P9" s="35">
        <v>-126518</v>
      </c>
      <c r="Q9" s="35">
        <v>40014</v>
      </c>
      <c r="R9" s="35">
        <v>50492</v>
      </c>
      <c r="S9" s="35">
        <v>95791</v>
      </c>
      <c r="T9" s="35">
        <v>59778.999999999993</v>
      </c>
      <c r="U9" s="35">
        <v>71370</v>
      </c>
      <c r="V9" s="35">
        <v>-544092</v>
      </c>
      <c r="W9" s="35">
        <v>180317</v>
      </c>
      <c r="X9" s="35">
        <v>188224</v>
      </c>
      <c r="Y9" s="35">
        <v>-104181.00000000001</v>
      </c>
      <c r="Z9" s="35">
        <v>171060</v>
      </c>
      <c r="AA9" s="35">
        <v>136018</v>
      </c>
      <c r="AB9" s="35">
        <v>134416</v>
      </c>
      <c r="AC9" s="35">
        <v>151419</v>
      </c>
      <c r="AD9" s="35">
        <v>592913</v>
      </c>
      <c r="AE9" s="35">
        <v>190921</v>
      </c>
      <c r="AF9" s="35">
        <v>652813</v>
      </c>
      <c r="AG9" s="35">
        <v>779470</v>
      </c>
      <c r="AH9" s="35">
        <v>339101</v>
      </c>
      <c r="AI9" s="35">
        <v>718069.0119119127</v>
      </c>
    </row>
    <row r="10" spans="1:35" s="8" customFormat="1" x14ac:dyDescent="0.25">
      <c r="B10" s="34"/>
      <c r="C10" s="31"/>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row>
    <row r="11" spans="1:35" x14ac:dyDescent="0.25">
      <c r="B11" s="34" t="s">
        <v>47</v>
      </c>
      <c r="C11" s="31"/>
      <c r="D11" s="35">
        <v>337896</v>
      </c>
      <c r="E11" s="35">
        <v>589299</v>
      </c>
      <c r="F11" s="35">
        <v>152367</v>
      </c>
      <c r="G11" s="35">
        <v>116295</v>
      </c>
      <c r="H11" s="35">
        <v>105035</v>
      </c>
      <c r="I11" s="35">
        <v>100602</v>
      </c>
      <c r="J11" s="35">
        <v>474299</v>
      </c>
      <c r="K11" s="35">
        <v>103863</v>
      </c>
      <c r="L11" s="35">
        <v>103105</v>
      </c>
      <c r="M11" s="35">
        <v>99254</v>
      </c>
      <c r="N11" s="35">
        <v>100668</v>
      </c>
      <c r="O11" s="35">
        <v>406890.00000000006</v>
      </c>
      <c r="P11" s="35">
        <v>105462</v>
      </c>
      <c r="Q11" s="35">
        <v>109907</v>
      </c>
      <c r="R11" s="35">
        <v>109124</v>
      </c>
      <c r="S11" s="35">
        <v>109295</v>
      </c>
      <c r="T11" s="35">
        <v>433788</v>
      </c>
      <c r="U11" s="35">
        <v>109609</v>
      </c>
      <c r="V11" s="35">
        <v>108492</v>
      </c>
      <c r="W11" s="35">
        <v>98778</v>
      </c>
      <c r="X11" s="35">
        <v>97918</v>
      </c>
      <c r="Y11" s="35">
        <v>414797</v>
      </c>
      <c r="Z11" s="35">
        <v>94489</v>
      </c>
      <c r="AA11" s="35">
        <v>92301</v>
      </c>
      <c r="AB11" s="35">
        <v>94491</v>
      </c>
      <c r="AC11" s="35">
        <v>95852</v>
      </c>
      <c r="AD11" s="35">
        <v>377133</v>
      </c>
      <c r="AE11" s="35">
        <v>370855</v>
      </c>
      <c r="AF11" s="35">
        <v>395988.40149999992</v>
      </c>
      <c r="AG11" s="35">
        <v>374201.36750000005</v>
      </c>
      <c r="AH11" s="35">
        <v>374790.36800000002</v>
      </c>
      <c r="AI11" s="35">
        <v>404808.03215311258</v>
      </c>
    </row>
    <row r="12" spans="1:35" x14ac:dyDescent="0.25">
      <c r="B12" s="34"/>
      <c r="C12" s="31"/>
      <c r="D12" s="35"/>
      <c r="E12" s="35"/>
      <c r="F12" s="35"/>
      <c r="G12" s="35"/>
      <c r="H12" s="35"/>
      <c r="I12" s="35"/>
      <c r="K12" s="35"/>
      <c r="L12" s="35"/>
      <c r="M12" s="35"/>
      <c r="N12" s="35"/>
      <c r="O12" s="35"/>
      <c r="P12" s="35"/>
      <c r="Q12" s="35"/>
      <c r="R12" s="35"/>
      <c r="S12" s="35"/>
      <c r="T12" s="35"/>
      <c r="AD12" s="35"/>
      <c r="AE12" s="35"/>
      <c r="AF12" s="35"/>
      <c r="AG12" s="35"/>
      <c r="AH12" s="35"/>
      <c r="AI12" s="35"/>
    </row>
    <row r="13" spans="1:35" ht="30" x14ac:dyDescent="0.25">
      <c r="B13" s="96" t="s">
        <v>143</v>
      </c>
      <c r="C13" s="31"/>
      <c r="D13" s="35">
        <v>-35207</v>
      </c>
      <c r="E13" s="35">
        <v>-102772</v>
      </c>
      <c r="F13" s="35">
        <v>-16007.000000000002</v>
      </c>
      <c r="G13" s="35">
        <v>-15535</v>
      </c>
      <c r="H13" s="35">
        <v>-15163</v>
      </c>
      <c r="I13" s="35">
        <v>-21410</v>
      </c>
      <c r="J13" s="35">
        <v>-68115</v>
      </c>
      <c r="K13" s="35">
        <v>-6515</v>
      </c>
      <c r="L13" s="35">
        <v>-783</v>
      </c>
      <c r="M13" s="35">
        <v>-4884</v>
      </c>
      <c r="N13" s="35">
        <v>-2442</v>
      </c>
      <c r="O13" s="35">
        <v>-14624</v>
      </c>
      <c r="P13" s="35">
        <v>213433</v>
      </c>
      <c r="Q13" s="35">
        <v>48802</v>
      </c>
      <c r="R13" s="35">
        <v>1055</v>
      </c>
      <c r="S13" s="35">
        <v>9520</v>
      </c>
      <c r="T13" s="35">
        <v>272810</v>
      </c>
      <c r="U13" s="35">
        <v>5282</v>
      </c>
      <c r="V13" s="35">
        <v>748761</v>
      </c>
      <c r="W13" s="35">
        <v>394</v>
      </c>
      <c r="X13" s="35">
        <v>-2650</v>
      </c>
      <c r="Y13" s="35">
        <v>751787</v>
      </c>
      <c r="Z13" s="35">
        <v>4518</v>
      </c>
      <c r="AA13" s="35">
        <v>926</v>
      </c>
      <c r="AB13" s="35">
        <v>10281</v>
      </c>
      <c r="AC13" s="35">
        <v>15884</v>
      </c>
      <c r="AD13" s="35">
        <v>31609</v>
      </c>
      <c r="AE13" s="35">
        <v>346833</v>
      </c>
      <c r="AF13" s="35">
        <v>-10136.722</v>
      </c>
      <c r="AG13" s="35">
        <v>-12867.308499999999</v>
      </c>
      <c r="AH13" s="35">
        <v>-7248.5470000000005</v>
      </c>
      <c r="AI13" s="35">
        <v>-5574.9880880871951</v>
      </c>
    </row>
    <row r="14" spans="1:35" x14ac:dyDescent="0.25">
      <c r="B14" s="34" t="s">
        <v>48</v>
      </c>
      <c r="C14" s="31"/>
      <c r="D14" s="35">
        <v>-2671</v>
      </c>
      <c r="E14" s="35">
        <v>-7659</v>
      </c>
      <c r="F14" s="35">
        <v>887</v>
      </c>
      <c r="G14" s="35">
        <v>591</v>
      </c>
      <c r="H14" s="35">
        <v>669</v>
      </c>
      <c r="I14" s="35">
        <v>636</v>
      </c>
      <c r="J14" s="35">
        <v>2783.0000000000005</v>
      </c>
      <c r="K14" s="35">
        <v>776</v>
      </c>
      <c r="L14" s="35">
        <v>-813</v>
      </c>
      <c r="M14" s="35">
        <v>1580</v>
      </c>
      <c r="N14" s="35">
        <v>135</v>
      </c>
      <c r="O14" s="35">
        <v>1678.0000000000002</v>
      </c>
      <c r="P14" s="35">
        <v>591</v>
      </c>
      <c r="Q14" s="35">
        <v>770</v>
      </c>
      <c r="R14" s="35">
        <v>1153</v>
      </c>
      <c r="S14" s="35">
        <v>666</v>
      </c>
      <c r="T14" s="35">
        <v>3180</v>
      </c>
      <c r="U14" s="35">
        <v>-1583</v>
      </c>
      <c r="V14" s="35">
        <v>478</v>
      </c>
      <c r="W14" s="35">
        <v>661</v>
      </c>
      <c r="X14" s="35">
        <v>536</v>
      </c>
      <c r="Y14" s="35">
        <v>92.000000000000085</v>
      </c>
      <c r="Z14" s="35">
        <v>1801</v>
      </c>
      <c r="AA14" s="35">
        <v>-2466</v>
      </c>
      <c r="AB14" s="35">
        <v>5617</v>
      </c>
      <c r="AC14" s="35">
        <v>2378</v>
      </c>
      <c r="AD14" s="35">
        <v>7330</v>
      </c>
      <c r="AE14" s="35">
        <v>5754</v>
      </c>
      <c r="AF14" s="35">
        <v>29932</v>
      </c>
      <c r="AG14" s="35">
        <v>5543</v>
      </c>
      <c r="AH14" s="35">
        <v>4614.0000000000009</v>
      </c>
      <c r="AI14" s="35">
        <v>2357.9999999999995</v>
      </c>
    </row>
    <row r="15" spans="1:35" x14ac:dyDescent="0.25">
      <c r="B15" s="36" t="s">
        <v>49</v>
      </c>
      <c r="C15" s="31"/>
      <c r="D15" s="35">
        <v>1035</v>
      </c>
      <c r="E15" s="35">
        <v>-5778</v>
      </c>
      <c r="F15" s="35">
        <v>-48601</v>
      </c>
      <c r="G15" s="35">
        <v>9480</v>
      </c>
      <c r="H15" s="35">
        <v>63985</v>
      </c>
      <c r="I15" s="35">
        <v>46030</v>
      </c>
      <c r="J15" s="35">
        <v>70894</v>
      </c>
      <c r="K15" s="35">
        <v>-23721</v>
      </c>
      <c r="L15" s="35">
        <v>-10691</v>
      </c>
      <c r="M15" s="35">
        <v>-17214</v>
      </c>
      <c r="N15" s="35">
        <v>17690</v>
      </c>
      <c r="O15" s="35">
        <v>-33936</v>
      </c>
      <c r="P15" s="35">
        <v>44513</v>
      </c>
      <c r="Q15" s="35">
        <v>2437</v>
      </c>
      <c r="R15" s="35">
        <v>7120</v>
      </c>
      <c r="S15" s="35">
        <v>7417</v>
      </c>
      <c r="T15" s="35">
        <v>61486.999999999993</v>
      </c>
      <c r="U15" s="35">
        <v>-4313</v>
      </c>
      <c r="V15" s="35">
        <v>7529</v>
      </c>
      <c r="W15" s="35">
        <v>14844</v>
      </c>
      <c r="X15" s="35">
        <v>10636</v>
      </c>
      <c r="Y15" s="35">
        <v>28695.999999999996</v>
      </c>
      <c r="Z15" s="35">
        <v>-46739</v>
      </c>
      <c r="AA15" s="35">
        <v>32279</v>
      </c>
      <c r="AB15" s="35">
        <v>4749</v>
      </c>
      <c r="AC15" s="35">
        <v>19335</v>
      </c>
      <c r="AD15" s="35">
        <v>9623.9999999999982</v>
      </c>
      <c r="AE15" s="35">
        <v>75350</v>
      </c>
      <c r="AF15" s="35">
        <v>169382.85250000001</v>
      </c>
      <c r="AG15" s="35">
        <v>-138308.18450000003</v>
      </c>
      <c r="AH15" s="35">
        <v>-189179.79750000002</v>
      </c>
      <c r="AI15" s="35">
        <v>629530</v>
      </c>
    </row>
    <row r="16" spans="1:35" x14ac:dyDescent="0.25">
      <c r="B16" s="34" t="s">
        <v>50</v>
      </c>
      <c r="C16" s="31"/>
      <c r="D16" s="35">
        <v>8329</v>
      </c>
      <c r="E16" s="35">
        <v>-13014</v>
      </c>
      <c r="F16" s="35">
        <v>11604</v>
      </c>
      <c r="G16" s="35">
        <v>5896</v>
      </c>
      <c r="H16" s="35">
        <v>3012</v>
      </c>
      <c r="I16" s="35">
        <v>-1028</v>
      </c>
      <c r="J16" s="35">
        <v>19484</v>
      </c>
      <c r="K16" s="35">
        <v>4126</v>
      </c>
      <c r="L16" s="35">
        <v>1711</v>
      </c>
      <c r="M16" s="35">
        <v>4229</v>
      </c>
      <c r="N16" s="35">
        <v>2633</v>
      </c>
      <c r="O16" s="35">
        <v>12699.000000000002</v>
      </c>
      <c r="P16" s="35">
        <v>6179</v>
      </c>
      <c r="Q16" s="35">
        <v>-3158</v>
      </c>
      <c r="R16" s="35">
        <v>4420</v>
      </c>
      <c r="S16" s="35">
        <v>-1945</v>
      </c>
      <c r="T16" s="35">
        <v>5496</v>
      </c>
      <c r="U16" s="35">
        <v>429</v>
      </c>
      <c r="V16" s="35">
        <v>2222</v>
      </c>
      <c r="W16" s="35">
        <v>773</v>
      </c>
      <c r="X16" s="35">
        <v>1738</v>
      </c>
      <c r="Y16" s="35">
        <v>5162</v>
      </c>
      <c r="Z16" s="35">
        <v>1613</v>
      </c>
      <c r="AA16" s="35">
        <v>-3246</v>
      </c>
      <c r="AB16" s="35">
        <v>-20445</v>
      </c>
      <c r="AC16" s="35">
        <v>5209</v>
      </c>
      <c r="AD16" s="35">
        <v>-16869</v>
      </c>
      <c r="AE16" s="35">
        <v>815.99999999999807</v>
      </c>
      <c r="AF16" s="35">
        <v>43047</v>
      </c>
      <c r="AG16" s="35">
        <v>-59.000000000001052</v>
      </c>
      <c r="AH16" s="35">
        <v>10705.999999999998</v>
      </c>
      <c r="AI16" s="35">
        <v>-84151</v>
      </c>
    </row>
    <row r="17" spans="2:35" x14ac:dyDescent="0.25">
      <c r="B17" s="36" t="s">
        <v>51</v>
      </c>
      <c r="C17" s="31"/>
      <c r="D17" s="35">
        <v>-192369</v>
      </c>
      <c r="E17" s="35">
        <v>-154366</v>
      </c>
      <c r="F17" s="35">
        <v>43554</v>
      </c>
      <c r="G17" s="35">
        <v>-7411</v>
      </c>
      <c r="H17" s="35">
        <v>-277965</v>
      </c>
      <c r="I17" s="35">
        <v>-31621</v>
      </c>
      <c r="J17" s="35">
        <v>-273443</v>
      </c>
      <c r="K17" s="35">
        <v>54144</v>
      </c>
      <c r="L17" s="35">
        <v>73565</v>
      </c>
      <c r="M17" s="35">
        <v>57551</v>
      </c>
      <c r="N17" s="35">
        <v>-2928</v>
      </c>
      <c r="O17" s="35">
        <v>182332</v>
      </c>
      <c r="P17" s="35">
        <v>20447</v>
      </c>
      <c r="Q17" s="35">
        <v>-20939</v>
      </c>
      <c r="R17" s="35">
        <v>-54819</v>
      </c>
      <c r="S17" s="35">
        <v>31379</v>
      </c>
      <c r="T17" s="35">
        <v>-23932</v>
      </c>
      <c r="U17" s="35">
        <v>25322</v>
      </c>
      <c r="V17" s="35">
        <v>13140</v>
      </c>
      <c r="W17" s="35">
        <v>-126616</v>
      </c>
      <c r="X17" s="35">
        <v>48625</v>
      </c>
      <c r="Y17" s="35">
        <v>-39528.999999999993</v>
      </c>
      <c r="Z17" s="35">
        <v>29595</v>
      </c>
      <c r="AA17" s="35">
        <v>31351</v>
      </c>
      <c r="AB17" s="35">
        <v>-92006</v>
      </c>
      <c r="AC17" s="35">
        <v>6883</v>
      </c>
      <c r="AD17" s="35">
        <v>-24177.000000000004</v>
      </c>
      <c r="AE17" s="35">
        <v>41030</v>
      </c>
      <c r="AF17" s="35">
        <v>-259364.3965</v>
      </c>
      <c r="AG17" s="35">
        <v>226354.75600000002</v>
      </c>
      <c r="AH17" s="35">
        <v>-51258.712499999987</v>
      </c>
      <c r="AI17" s="35">
        <v>-91064.257406841207</v>
      </c>
    </row>
    <row r="18" spans="2:35" x14ac:dyDescent="0.25">
      <c r="B18" s="36" t="s">
        <v>52</v>
      </c>
      <c r="C18" s="31"/>
      <c r="D18" s="35"/>
      <c r="E18" s="35">
        <f t="shared" ref="E18:E19" si="0">0*(1000)</f>
        <v>0</v>
      </c>
      <c r="F18" s="35">
        <v>0</v>
      </c>
      <c r="G18" s="35">
        <v>0</v>
      </c>
      <c r="H18" s="35">
        <v>0</v>
      </c>
      <c r="I18" s="35">
        <v>0</v>
      </c>
      <c r="J18" s="35">
        <v>0</v>
      </c>
      <c r="K18" s="35">
        <v>0</v>
      </c>
      <c r="L18" s="35">
        <v>0</v>
      </c>
      <c r="M18" s="35">
        <v>0</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5">
        <v>0</v>
      </c>
      <c r="AG18" s="35">
        <v>0</v>
      </c>
      <c r="AH18" s="35">
        <v>27022</v>
      </c>
      <c r="AI18" s="35">
        <v>0</v>
      </c>
    </row>
    <row r="19" spans="2:35" x14ac:dyDescent="0.25">
      <c r="B19" s="112" t="s">
        <v>124</v>
      </c>
      <c r="C19" s="31"/>
      <c r="D19" s="35"/>
      <c r="E19" s="35">
        <f t="shared" si="0"/>
        <v>0</v>
      </c>
      <c r="F19" s="35">
        <v>0</v>
      </c>
      <c r="G19" s="35">
        <v>0</v>
      </c>
      <c r="H19" s="35">
        <v>0</v>
      </c>
      <c r="I19" s="35">
        <v>0</v>
      </c>
      <c r="J19" s="35">
        <v>0</v>
      </c>
      <c r="K19" s="35">
        <v>0</v>
      </c>
      <c r="L19" s="35">
        <v>0</v>
      </c>
      <c r="M19" s="35">
        <v>0</v>
      </c>
      <c r="N19" s="35">
        <v>0</v>
      </c>
      <c r="O19" s="35">
        <v>0</v>
      </c>
      <c r="P19" s="35">
        <v>0</v>
      </c>
      <c r="Q19" s="35">
        <v>0</v>
      </c>
      <c r="R19" s="35">
        <v>0</v>
      </c>
      <c r="S19" s="35">
        <v>1739</v>
      </c>
      <c r="T19" s="35">
        <v>1739</v>
      </c>
      <c r="U19" s="35">
        <v>0</v>
      </c>
      <c r="V19" s="35">
        <v>0</v>
      </c>
      <c r="W19" s="35">
        <v>0</v>
      </c>
      <c r="X19" s="35">
        <v>0</v>
      </c>
      <c r="Y19" s="35">
        <v>0</v>
      </c>
      <c r="Z19" s="35">
        <v>0</v>
      </c>
      <c r="AA19" s="35">
        <v>0</v>
      </c>
      <c r="AB19" s="35">
        <v>0</v>
      </c>
      <c r="AC19" s="35">
        <v>0</v>
      </c>
      <c r="AD19" s="35">
        <v>0</v>
      </c>
      <c r="AE19" s="35">
        <v>0</v>
      </c>
      <c r="AF19" s="35">
        <v>0</v>
      </c>
      <c r="AG19" s="35">
        <v>0</v>
      </c>
      <c r="AH19" s="35">
        <v>0</v>
      </c>
      <c r="AI19" s="35">
        <v>0</v>
      </c>
    </row>
    <row r="20" spans="2:35" x14ac:dyDescent="0.25">
      <c r="B20" s="113" t="s">
        <v>53</v>
      </c>
      <c r="C20" s="31"/>
      <c r="D20" s="35">
        <v>202643</v>
      </c>
      <c r="E20" s="35">
        <v>-228577</v>
      </c>
      <c r="F20" s="35">
        <v>-309713</v>
      </c>
      <c r="G20" s="35">
        <v>-96755</v>
      </c>
      <c r="H20" s="35">
        <v>-140664</v>
      </c>
      <c r="I20" s="35">
        <v>-317838</v>
      </c>
      <c r="J20" s="35">
        <v>-864970</v>
      </c>
      <c r="K20" s="35">
        <v>641</v>
      </c>
      <c r="L20" s="35">
        <v>-210064</v>
      </c>
      <c r="M20" s="35">
        <v>48970</v>
      </c>
      <c r="N20" s="35">
        <v>-1920</v>
      </c>
      <c r="O20" s="35">
        <v>-162373</v>
      </c>
      <c r="P20" s="35">
        <v>49389</v>
      </c>
      <c r="Q20" s="35">
        <v>73632</v>
      </c>
      <c r="R20" s="35">
        <v>316194</v>
      </c>
      <c r="S20" s="35">
        <v>69929</v>
      </c>
      <c r="T20" s="35">
        <v>509144</v>
      </c>
      <c r="U20" s="35">
        <v>2212</v>
      </c>
      <c r="V20" s="35">
        <v>-48708</v>
      </c>
      <c r="W20" s="35">
        <v>-135540</v>
      </c>
      <c r="X20" s="35">
        <v>-368944</v>
      </c>
      <c r="Y20" s="35">
        <v>-550980</v>
      </c>
      <c r="Z20" s="35">
        <v>-9665</v>
      </c>
      <c r="AA20" s="35">
        <v>2807</v>
      </c>
      <c r="AB20" s="35">
        <v>70702</v>
      </c>
      <c r="AC20" s="35">
        <v>50767</v>
      </c>
      <c r="AD20" s="35">
        <v>114611</v>
      </c>
      <c r="AE20" s="35">
        <v>23532.999999999993</v>
      </c>
      <c r="AF20" s="35">
        <v>-399291.56149999995</v>
      </c>
      <c r="AG20" s="35">
        <v>-437078.52100000001</v>
      </c>
      <c r="AH20" s="35">
        <v>646369.04422787577</v>
      </c>
      <c r="AI20" s="35">
        <v>-1062096.4724346092</v>
      </c>
    </row>
    <row r="21" spans="2:35" ht="5.0999999999999996" customHeight="1" x14ac:dyDescent="0.25">
      <c r="B21" s="37"/>
      <c r="C21" s="31"/>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2:35" x14ac:dyDescent="0.25">
      <c r="B22" s="39" t="s">
        <v>144</v>
      </c>
      <c r="C22" s="31"/>
      <c r="D22" s="40">
        <f t="shared" ref="D22" si="1">+SUM(D9:D20)-D10</f>
        <v>749568.94874999998</v>
      </c>
      <c r="E22" s="40">
        <f>+SUM(E9:E20)</f>
        <v>1739265</v>
      </c>
      <c r="F22" s="40">
        <f t="shared" ref="F22:J22" si="2">+SUM(F9:F20)-F10</f>
        <v>32109</v>
      </c>
      <c r="G22" s="40">
        <f t="shared" si="2"/>
        <v>245292</v>
      </c>
      <c r="H22" s="40">
        <f t="shared" si="2"/>
        <v>20698</v>
      </c>
      <c r="I22" s="40">
        <f t="shared" si="2"/>
        <v>85760</v>
      </c>
      <c r="J22" s="40">
        <f t="shared" si="2"/>
        <v>383859</v>
      </c>
      <c r="K22" s="40">
        <v>278075</v>
      </c>
      <c r="L22" s="40">
        <v>220363</v>
      </c>
      <c r="M22" s="40">
        <v>363739</v>
      </c>
      <c r="N22" s="40">
        <v>237418</v>
      </c>
      <c r="O22" s="40">
        <v>1099595</v>
      </c>
      <c r="P22" s="40">
        <v>313496</v>
      </c>
      <c r="Q22" s="40">
        <v>251465</v>
      </c>
      <c r="R22" s="40">
        <v>434739</v>
      </c>
      <c r="S22" s="40">
        <v>323791</v>
      </c>
      <c r="T22" s="40">
        <v>1323491</v>
      </c>
      <c r="U22" s="40">
        <v>208328</v>
      </c>
      <c r="V22" s="40">
        <v>287822</v>
      </c>
      <c r="W22" s="40">
        <v>33611</v>
      </c>
      <c r="X22" s="40">
        <v>-23917</v>
      </c>
      <c r="Y22" s="40">
        <v>505844</v>
      </c>
      <c r="Z22" s="40">
        <v>246672</v>
      </c>
      <c r="AA22" s="40">
        <v>289970</v>
      </c>
      <c r="AB22" s="40">
        <v>207805</v>
      </c>
      <c r="AC22" s="40">
        <v>347727</v>
      </c>
      <c r="AD22" s="40">
        <v>1092174</v>
      </c>
      <c r="AE22" s="40">
        <v>1055092</v>
      </c>
      <c r="AF22" s="40">
        <v>622369.57400000014</v>
      </c>
      <c r="AG22" s="40">
        <v>797256.10950000025</v>
      </c>
      <c r="AH22" s="40">
        <v>1154915.3552278758</v>
      </c>
      <c r="AI22" s="40">
        <v>511878.32613548753</v>
      </c>
    </row>
    <row r="23" spans="2:35" x14ac:dyDescent="0.25">
      <c r="B23" s="36"/>
      <c r="C23" s="31"/>
      <c r="D23" s="35"/>
      <c r="E23" s="35"/>
      <c r="F23" s="35"/>
      <c r="G23" s="35"/>
      <c r="H23" s="35"/>
      <c r="I23" s="35"/>
      <c r="K23" s="35"/>
      <c r="L23" s="35"/>
      <c r="M23" s="35"/>
      <c r="N23" s="35"/>
      <c r="O23" s="35"/>
      <c r="P23" s="35"/>
      <c r="Q23" s="35"/>
      <c r="R23" s="35"/>
      <c r="S23" s="35"/>
      <c r="T23" s="35"/>
      <c r="AD23" s="35"/>
      <c r="AE23" s="35"/>
      <c r="AF23" s="35"/>
      <c r="AG23" s="35"/>
      <c r="AH23" s="35"/>
      <c r="AI23" s="35"/>
    </row>
    <row r="24" spans="2:35" x14ac:dyDescent="0.25">
      <c r="B24" s="36" t="s">
        <v>54</v>
      </c>
      <c r="C24" s="31"/>
      <c r="D24" s="35">
        <v>-485122</v>
      </c>
      <c r="E24" s="35">
        <v>-520250</v>
      </c>
      <c r="F24" s="35">
        <v>-126529</v>
      </c>
      <c r="G24" s="35">
        <v>-100383</v>
      </c>
      <c r="H24" s="35">
        <v>-98619</v>
      </c>
      <c r="I24" s="35">
        <v>-83871</v>
      </c>
      <c r="J24" s="35">
        <v>-409401.99999999994</v>
      </c>
      <c r="K24" s="35">
        <v>-100416</v>
      </c>
      <c r="L24" s="35">
        <v>-104869</v>
      </c>
      <c r="M24" s="35">
        <v>-132358</v>
      </c>
      <c r="N24" s="35">
        <v>-97817</v>
      </c>
      <c r="O24" s="35">
        <v>-435460.00000000006</v>
      </c>
      <c r="P24" s="35">
        <v>-123849</v>
      </c>
      <c r="Q24" s="35">
        <v>-115324</v>
      </c>
      <c r="R24" s="35">
        <v>-143642</v>
      </c>
      <c r="S24" s="35">
        <v>-83828</v>
      </c>
      <c r="T24" s="35">
        <v>-466642.99999999994</v>
      </c>
      <c r="U24" s="35">
        <v>-108689</v>
      </c>
      <c r="V24" s="35">
        <v>-94757</v>
      </c>
      <c r="W24" s="35">
        <v>-136430</v>
      </c>
      <c r="X24" s="35">
        <v>-103587</v>
      </c>
      <c r="Y24" s="35">
        <v>-443462.99999999994</v>
      </c>
      <c r="Z24" s="35">
        <v>-158174</v>
      </c>
      <c r="AA24" s="35">
        <v>-217470</v>
      </c>
      <c r="AB24" s="35">
        <v>-289615</v>
      </c>
      <c r="AC24" s="35">
        <v>-218058</v>
      </c>
      <c r="AD24" s="35">
        <v>-883317</v>
      </c>
      <c r="AE24" s="35">
        <v>-1022592</v>
      </c>
      <c r="AF24" s="35">
        <v>-577001.18449999997</v>
      </c>
      <c r="AG24" s="35">
        <v>-339378.30200000003</v>
      </c>
      <c r="AH24" s="35">
        <v>-204250.18749999997</v>
      </c>
      <c r="AI24" s="35">
        <v>-582290.44700721256</v>
      </c>
    </row>
    <row r="25" spans="2:35" x14ac:dyDescent="0.25">
      <c r="B25" s="41" t="s">
        <v>55</v>
      </c>
      <c r="C25" s="31"/>
      <c r="D25" s="35">
        <v>475</v>
      </c>
      <c r="E25" s="35">
        <v>861</v>
      </c>
      <c r="F25" s="35">
        <v>377</v>
      </c>
      <c r="G25" s="35">
        <v>389</v>
      </c>
      <c r="H25" s="35">
        <v>297</v>
      </c>
      <c r="I25" s="35">
        <v>61</v>
      </c>
      <c r="J25" s="35">
        <v>1124</v>
      </c>
      <c r="K25" s="35">
        <v>397</v>
      </c>
      <c r="L25" s="35">
        <v>335</v>
      </c>
      <c r="M25" s="35">
        <v>266</v>
      </c>
      <c r="N25" s="35">
        <v>214</v>
      </c>
      <c r="O25" s="35">
        <v>1212</v>
      </c>
      <c r="P25" s="35">
        <v>307</v>
      </c>
      <c r="Q25" s="35">
        <v>296</v>
      </c>
      <c r="R25" s="35">
        <v>254</v>
      </c>
      <c r="S25" s="35">
        <v>360</v>
      </c>
      <c r="T25" s="35">
        <v>1217</v>
      </c>
      <c r="U25" s="35">
        <v>377</v>
      </c>
      <c r="V25" s="35">
        <v>405</v>
      </c>
      <c r="W25" s="35">
        <v>419</v>
      </c>
      <c r="X25" s="35">
        <v>272</v>
      </c>
      <c r="Y25" s="35">
        <v>1473</v>
      </c>
      <c r="Z25" s="35">
        <v>575</v>
      </c>
      <c r="AA25" s="35">
        <v>553</v>
      </c>
      <c r="AB25" s="35">
        <v>686</v>
      </c>
      <c r="AC25" s="35">
        <v>319</v>
      </c>
      <c r="AD25" s="35">
        <v>2133</v>
      </c>
      <c r="AE25" s="35">
        <v>2143</v>
      </c>
      <c r="AF25" s="35">
        <v>1696</v>
      </c>
      <c r="AG25" s="35">
        <v>1693</v>
      </c>
      <c r="AH25" s="35">
        <v>3244.9999999999995</v>
      </c>
      <c r="AI25" s="35">
        <v>2103</v>
      </c>
    </row>
    <row r="26" spans="2:35" x14ac:dyDescent="0.25">
      <c r="B26" s="112" t="s">
        <v>125</v>
      </c>
      <c r="C26" s="31"/>
      <c r="D26" s="35">
        <f>0</f>
        <v>0</v>
      </c>
      <c r="E26" s="35">
        <v>0</v>
      </c>
      <c r="F26" s="35"/>
      <c r="G26" s="35">
        <f>0</f>
        <v>0</v>
      </c>
      <c r="H26" s="35"/>
      <c r="I26" s="35">
        <v>0</v>
      </c>
      <c r="J26" s="35">
        <v>0</v>
      </c>
      <c r="K26" s="35">
        <v>0</v>
      </c>
      <c r="L26" s="35">
        <v>0</v>
      </c>
      <c r="M26" s="35">
        <v>0</v>
      </c>
      <c r="N26" s="35">
        <v>0</v>
      </c>
      <c r="O26" s="35">
        <v>0</v>
      </c>
      <c r="P26" s="35">
        <v>0</v>
      </c>
      <c r="Q26" s="35">
        <v>0</v>
      </c>
      <c r="R26" s="35">
        <v>0</v>
      </c>
      <c r="S26" s="35">
        <v>-672.60699999999997</v>
      </c>
      <c r="T26" s="35">
        <v>-672.60699999999997</v>
      </c>
      <c r="U26" s="35">
        <v>0</v>
      </c>
      <c r="V26" s="35">
        <v>0</v>
      </c>
      <c r="W26" s="35">
        <v>0</v>
      </c>
      <c r="X26" s="35">
        <v>0</v>
      </c>
      <c r="Y26" s="35">
        <v>0</v>
      </c>
      <c r="Z26" s="35">
        <v>0</v>
      </c>
      <c r="AA26" s="35">
        <v>0</v>
      </c>
      <c r="AB26" s="35">
        <v>0</v>
      </c>
      <c r="AC26" s="35">
        <v>0</v>
      </c>
      <c r="AD26" s="35">
        <v>0</v>
      </c>
      <c r="AE26" s="35">
        <v>0</v>
      </c>
      <c r="AF26" s="35">
        <v>0</v>
      </c>
      <c r="AG26" s="35">
        <v>0</v>
      </c>
      <c r="AH26" s="35">
        <v>0</v>
      </c>
      <c r="AI26" s="35">
        <v>0</v>
      </c>
    </row>
    <row r="27" spans="2:35" x14ac:dyDescent="0.25">
      <c r="B27" s="36" t="s">
        <v>101</v>
      </c>
      <c r="C27" s="31"/>
      <c r="D27" s="35">
        <f>0</f>
        <v>0</v>
      </c>
      <c r="E27" s="35">
        <v>0</v>
      </c>
      <c r="F27" s="35"/>
      <c r="G27" s="35">
        <f>0</f>
        <v>0</v>
      </c>
      <c r="H27" s="35"/>
      <c r="I27" s="35"/>
      <c r="J27" s="35">
        <v>0</v>
      </c>
      <c r="K27" s="35"/>
      <c r="L27" s="35"/>
      <c r="M27" s="35"/>
      <c r="N27" s="35"/>
      <c r="O27" s="35">
        <v>0</v>
      </c>
      <c r="P27" s="35"/>
      <c r="Q27" s="35"/>
      <c r="R27" s="35"/>
      <c r="S27" s="35"/>
      <c r="T27" s="35"/>
      <c r="AD27" s="35"/>
      <c r="AE27" s="35"/>
      <c r="AF27" s="35"/>
      <c r="AG27" s="35"/>
      <c r="AH27" s="35"/>
      <c r="AI27" s="35"/>
    </row>
    <row r="28" spans="2:35" x14ac:dyDescent="0.25">
      <c r="B28" s="42" t="s">
        <v>56</v>
      </c>
      <c r="C28" s="31"/>
      <c r="D28" s="35">
        <f>0</f>
        <v>0</v>
      </c>
      <c r="E28" s="35">
        <v>0</v>
      </c>
      <c r="F28" s="35">
        <v>0</v>
      </c>
      <c r="G28" s="35">
        <v>-1890989</v>
      </c>
      <c r="H28" s="35">
        <v>0</v>
      </c>
      <c r="I28" s="35">
        <v>0</v>
      </c>
      <c r="J28" s="35">
        <v>-1890989</v>
      </c>
      <c r="K28" s="35">
        <v>0</v>
      </c>
      <c r="L28" s="35">
        <v>0</v>
      </c>
      <c r="M28" s="35">
        <v>0</v>
      </c>
      <c r="N28" s="35">
        <v>0</v>
      </c>
      <c r="O28" s="35">
        <v>0</v>
      </c>
      <c r="P28" s="35">
        <v>0</v>
      </c>
      <c r="Q28" s="35">
        <v>0</v>
      </c>
      <c r="R28" s="35">
        <v>0</v>
      </c>
      <c r="S28" s="35">
        <v>0</v>
      </c>
      <c r="T28" s="35">
        <v>0</v>
      </c>
      <c r="U28" s="35">
        <v>-249032</v>
      </c>
      <c r="V28" s="35">
        <v>0</v>
      </c>
      <c r="W28" s="35">
        <v>0</v>
      </c>
      <c r="X28" s="35">
        <v>0</v>
      </c>
      <c r="Y28" s="35">
        <v>-249032</v>
      </c>
      <c r="Z28" s="35">
        <v>0</v>
      </c>
      <c r="AA28" s="35">
        <v>0</v>
      </c>
      <c r="AB28" s="35">
        <v>0</v>
      </c>
      <c r="AC28" s="35">
        <v>0</v>
      </c>
      <c r="AD28" s="35">
        <v>0</v>
      </c>
      <c r="AE28" s="35">
        <v>-2243610</v>
      </c>
      <c r="AF28" s="35">
        <v>0</v>
      </c>
      <c r="AG28" s="35">
        <v>-75000</v>
      </c>
      <c r="AH28" s="35">
        <v>-196</v>
      </c>
      <c r="AI28" s="35">
        <v>0</v>
      </c>
    </row>
    <row r="29" spans="2:35" x14ac:dyDescent="0.25">
      <c r="B29" s="42" t="s">
        <v>57</v>
      </c>
      <c r="C29" s="31"/>
      <c r="D29" s="35">
        <f>0</f>
        <v>0</v>
      </c>
      <c r="E29" s="35">
        <v>0</v>
      </c>
      <c r="F29" s="35">
        <v>0</v>
      </c>
      <c r="G29" s="35">
        <v>278162</v>
      </c>
      <c r="H29" s="35">
        <v>0</v>
      </c>
      <c r="I29" s="35">
        <v>0</v>
      </c>
      <c r="J29" s="35">
        <v>278162</v>
      </c>
      <c r="K29" s="35">
        <v>0</v>
      </c>
      <c r="L29" s="35">
        <v>0</v>
      </c>
      <c r="M29" s="35">
        <v>0</v>
      </c>
      <c r="N29" s="35">
        <v>0</v>
      </c>
      <c r="O29" s="35">
        <v>0</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F29" s="35">
        <v>0</v>
      </c>
      <c r="AG29" s="35">
        <v>6593</v>
      </c>
      <c r="AH29" s="35">
        <v>0</v>
      </c>
      <c r="AI29" s="35">
        <v>0</v>
      </c>
    </row>
    <row r="30" spans="2:35" x14ac:dyDescent="0.25">
      <c r="B30" s="106" t="s">
        <v>166</v>
      </c>
      <c r="C30" s="31"/>
      <c r="D30" s="35">
        <f>0</f>
        <v>0</v>
      </c>
      <c r="E30" s="35">
        <v>0</v>
      </c>
      <c r="F30" s="35">
        <v>0</v>
      </c>
      <c r="G30" s="35">
        <v>0</v>
      </c>
      <c r="H30" s="35">
        <v>0</v>
      </c>
      <c r="I30" s="35">
        <v>0</v>
      </c>
      <c r="J30" s="35">
        <v>0</v>
      </c>
      <c r="K30" s="35">
        <v>0</v>
      </c>
      <c r="L30" s="35">
        <v>0</v>
      </c>
      <c r="M30" s="35">
        <v>-114449</v>
      </c>
      <c r="N30" s="35">
        <v>0</v>
      </c>
      <c r="O30" s="35">
        <v>-114449</v>
      </c>
      <c r="P30" s="35">
        <v>-9600</v>
      </c>
      <c r="Q30" s="35">
        <v>0</v>
      </c>
      <c r="R30" s="35">
        <v>0</v>
      </c>
      <c r="S30" s="35">
        <v>0</v>
      </c>
      <c r="T30" s="35">
        <v>-9600</v>
      </c>
      <c r="U30" s="35">
        <v>0</v>
      </c>
      <c r="V30" s="35">
        <v>0</v>
      </c>
      <c r="W30" s="35">
        <v>0</v>
      </c>
      <c r="X30" s="35">
        <v>-3010</v>
      </c>
      <c r="Y30" s="35">
        <v>-3010</v>
      </c>
      <c r="Z30" s="35">
        <v>0</v>
      </c>
      <c r="AA30" s="35">
        <v>0</v>
      </c>
      <c r="AB30" s="35">
        <v>0</v>
      </c>
      <c r="AC30" s="35">
        <v>0</v>
      </c>
      <c r="AD30" s="35">
        <v>0</v>
      </c>
      <c r="AE30" s="35">
        <v>0</v>
      </c>
      <c r="AF30" s="35">
        <v>0</v>
      </c>
      <c r="AG30" s="35">
        <v>0</v>
      </c>
      <c r="AH30" s="35">
        <v>0</v>
      </c>
      <c r="AI30" s="35">
        <v>0</v>
      </c>
    </row>
    <row r="31" spans="2:35" x14ac:dyDescent="0.25">
      <c r="B31" s="36" t="s">
        <v>107</v>
      </c>
      <c r="C31" s="31"/>
      <c r="D31" s="35">
        <v>24480</v>
      </c>
      <c r="E31" s="35">
        <v>-24480</v>
      </c>
      <c r="F31" s="35">
        <v>0</v>
      </c>
      <c r="G31" s="35">
        <v>0</v>
      </c>
      <c r="H31" s="35">
        <v>0</v>
      </c>
      <c r="I31" s="35">
        <v>-23904</v>
      </c>
      <c r="J31" s="35">
        <v>-23904</v>
      </c>
      <c r="K31" s="35">
        <v>-15264</v>
      </c>
      <c r="L31" s="35">
        <v>-25200</v>
      </c>
      <c r="M31" s="35">
        <v>-29376</v>
      </c>
      <c r="N31" s="35">
        <v>-22656</v>
      </c>
      <c r="O31" s="35">
        <v>-92496.000000000015</v>
      </c>
      <c r="P31" s="35">
        <v>-10416</v>
      </c>
      <c r="Q31" s="35">
        <v>0</v>
      </c>
      <c r="R31" s="35">
        <v>0</v>
      </c>
      <c r="S31" s="35">
        <v>0</v>
      </c>
      <c r="T31" s="35">
        <v>-10416</v>
      </c>
      <c r="U31" s="35">
        <v>0</v>
      </c>
      <c r="V31" s="35">
        <v>62506</v>
      </c>
      <c r="W31" s="35">
        <v>-21600</v>
      </c>
      <c r="X31" s="35">
        <v>-40906</v>
      </c>
      <c r="Y31" s="35">
        <v>0</v>
      </c>
      <c r="Z31" s="35">
        <v>0</v>
      </c>
      <c r="AA31" s="35">
        <v>0</v>
      </c>
      <c r="AB31" s="35">
        <v>0</v>
      </c>
      <c r="AC31" s="35">
        <v>0</v>
      </c>
      <c r="AD31" s="35">
        <v>0</v>
      </c>
      <c r="AE31" s="35">
        <v>0</v>
      </c>
      <c r="AF31" s="35">
        <v>0</v>
      </c>
      <c r="AG31" s="35">
        <v>0</v>
      </c>
      <c r="AH31" s="35">
        <v>0</v>
      </c>
      <c r="AI31" s="35">
        <v>0</v>
      </c>
    </row>
    <row r="32" spans="2:35" x14ac:dyDescent="0.25">
      <c r="B32" s="36" t="s">
        <v>59</v>
      </c>
      <c r="C32" s="31"/>
      <c r="D32" s="35">
        <f>0</f>
        <v>0</v>
      </c>
      <c r="E32" s="35">
        <v>0</v>
      </c>
      <c r="F32" s="35">
        <v>0</v>
      </c>
      <c r="G32" s="35">
        <v>0</v>
      </c>
      <c r="H32" s="35">
        <v>65</v>
      </c>
      <c r="I32" s="35">
        <v>0</v>
      </c>
      <c r="J32" s="35">
        <v>65</v>
      </c>
      <c r="K32" s="35">
        <v>62</v>
      </c>
      <c r="L32" s="35">
        <v>0</v>
      </c>
      <c r="M32" s="35">
        <v>61</v>
      </c>
      <c r="N32" s="35">
        <v>60</v>
      </c>
      <c r="O32" s="35">
        <v>183</v>
      </c>
      <c r="P32" s="35">
        <v>0</v>
      </c>
      <c r="Q32" s="35">
        <v>0</v>
      </c>
      <c r="R32" s="35">
        <v>0</v>
      </c>
      <c r="S32" s="35">
        <v>0</v>
      </c>
      <c r="T32" s="35">
        <v>0</v>
      </c>
      <c r="U32" s="35">
        <v>0</v>
      </c>
      <c r="V32" s="35">
        <v>0</v>
      </c>
      <c r="W32" s="35">
        <v>0</v>
      </c>
      <c r="X32" s="35">
        <v>0</v>
      </c>
      <c r="Y32" s="35">
        <v>0</v>
      </c>
      <c r="Z32" s="35">
        <v>207</v>
      </c>
      <c r="AA32" s="35">
        <v>0</v>
      </c>
      <c r="AB32" s="35">
        <v>0</v>
      </c>
      <c r="AC32" s="35">
        <v>0</v>
      </c>
      <c r="AD32" s="35">
        <v>207</v>
      </c>
      <c r="AE32" s="35">
        <v>4718</v>
      </c>
      <c r="AF32" s="35">
        <v>0</v>
      </c>
      <c r="AG32" s="35">
        <v>302</v>
      </c>
      <c r="AH32" s="35">
        <v>0</v>
      </c>
      <c r="AI32" s="35">
        <v>0</v>
      </c>
    </row>
    <row r="33" spans="2:35" outlineLevel="1" x14ac:dyDescent="0.25">
      <c r="B33" s="36" t="s">
        <v>60</v>
      </c>
      <c r="C33" s="31"/>
      <c r="D33" s="35">
        <v>0</v>
      </c>
      <c r="E33" s="35">
        <v>0</v>
      </c>
      <c r="F33" s="35">
        <v>0</v>
      </c>
      <c r="G33" s="35">
        <v>0</v>
      </c>
      <c r="H33" s="35"/>
      <c r="I33" s="35">
        <v>0</v>
      </c>
      <c r="J33" s="35">
        <v>0</v>
      </c>
      <c r="K33" s="35">
        <v>0</v>
      </c>
      <c r="L33" s="35">
        <v>0</v>
      </c>
      <c r="M33" s="35">
        <v>0</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5">
        <v>0</v>
      </c>
      <c r="AG33" s="35">
        <v>-302</v>
      </c>
      <c r="AH33" s="35">
        <v>0</v>
      </c>
      <c r="AI33" s="35">
        <v>0</v>
      </c>
    </row>
    <row r="34" spans="2:35" x14ac:dyDescent="0.25">
      <c r="B34" s="36" t="s">
        <v>168</v>
      </c>
      <c r="C34" s="31"/>
      <c r="D34" s="35">
        <v>17938</v>
      </c>
      <c r="E34" s="35">
        <v>86857</v>
      </c>
      <c r="F34" s="35">
        <v>24478</v>
      </c>
      <c r="G34" s="35">
        <v>-1308</v>
      </c>
      <c r="H34" s="35">
        <v>-2705</v>
      </c>
      <c r="I34" s="35">
        <v>-5479</v>
      </c>
      <c r="J34" s="35">
        <v>14986.000000000004</v>
      </c>
      <c r="K34" s="35">
        <v>45878</v>
      </c>
      <c r="L34" s="35">
        <v>6381</v>
      </c>
      <c r="M34" s="35">
        <v>31608</v>
      </c>
      <c r="N34" s="35">
        <v>2473</v>
      </c>
      <c r="O34" s="35">
        <v>86340</v>
      </c>
      <c r="P34" s="35">
        <v>-86364</v>
      </c>
      <c r="Q34" s="35">
        <v>17312</v>
      </c>
      <c r="R34" s="35">
        <v>10798</v>
      </c>
      <c r="S34" s="35">
        <v>-27692</v>
      </c>
      <c r="T34" s="35">
        <v>-85946</v>
      </c>
      <c r="U34" s="35">
        <v>-46362</v>
      </c>
      <c r="V34" s="35">
        <v>3670</v>
      </c>
      <c r="W34" s="35">
        <v>30315</v>
      </c>
      <c r="X34" s="35">
        <v>30635</v>
      </c>
      <c r="Y34" s="35">
        <v>18258.000000000004</v>
      </c>
      <c r="Z34" s="35">
        <v>-8390</v>
      </c>
      <c r="AA34" s="35">
        <v>-49539</v>
      </c>
      <c r="AB34" s="35">
        <v>28400</v>
      </c>
      <c r="AC34" s="35">
        <v>27727</v>
      </c>
      <c r="AD34" s="35">
        <v>-1801.9999999999995</v>
      </c>
      <c r="AE34" s="35">
        <v>127875</v>
      </c>
      <c r="AF34" s="35">
        <v>588212</v>
      </c>
      <c r="AG34" s="35">
        <v>-820672</v>
      </c>
      <c r="AH34" s="35">
        <v>43163.000000000007</v>
      </c>
      <c r="AI34" s="35">
        <v>-24673.999999999996</v>
      </c>
    </row>
    <row r="35" spans="2:35" x14ac:dyDescent="0.25">
      <c r="B35" s="36" t="s">
        <v>61</v>
      </c>
      <c r="C35" s="31"/>
      <c r="D35" s="35">
        <v>0</v>
      </c>
      <c r="E35" s="35">
        <v>0</v>
      </c>
      <c r="F35" s="35">
        <v>0</v>
      </c>
      <c r="G35" s="35">
        <f>0</f>
        <v>0</v>
      </c>
      <c r="K35" s="35">
        <v>0</v>
      </c>
      <c r="L35" s="35">
        <v>0</v>
      </c>
      <c r="M35" s="35">
        <v>0</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0</v>
      </c>
      <c r="AE35" s="35">
        <v>136719</v>
      </c>
      <c r="AF35" s="35">
        <v>133084</v>
      </c>
      <c r="AG35" s="35">
        <v>767382.00000000012</v>
      </c>
      <c r="AH35" s="35">
        <v>953611</v>
      </c>
      <c r="AI35" s="35">
        <v>0</v>
      </c>
    </row>
    <row r="36" spans="2:35" outlineLevel="1" x14ac:dyDescent="0.25">
      <c r="B36" s="41" t="s">
        <v>62</v>
      </c>
      <c r="C36" s="31"/>
      <c r="D36" s="35">
        <v>0</v>
      </c>
      <c r="E36" s="35">
        <v>0</v>
      </c>
      <c r="F36" s="35">
        <v>0</v>
      </c>
      <c r="G36" s="35">
        <v>0</v>
      </c>
      <c r="H36" s="35"/>
      <c r="I36" s="35">
        <v>0</v>
      </c>
      <c r="J36" s="35">
        <v>0</v>
      </c>
      <c r="K36" s="35">
        <v>0</v>
      </c>
      <c r="L36" s="35">
        <v>0</v>
      </c>
      <c r="M36" s="35">
        <v>0</v>
      </c>
      <c r="N36" s="35">
        <v>0</v>
      </c>
      <c r="O36" s="35">
        <v>0</v>
      </c>
      <c r="P36" s="35">
        <v>0</v>
      </c>
      <c r="Q36" s="35">
        <v>0</v>
      </c>
      <c r="R36" s="35">
        <v>0</v>
      </c>
      <c r="S36" s="35">
        <v>0</v>
      </c>
      <c r="T36" s="35">
        <v>0</v>
      </c>
      <c r="U36" s="35">
        <v>0</v>
      </c>
      <c r="V36" s="35">
        <v>0</v>
      </c>
      <c r="W36" s="35">
        <v>0</v>
      </c>
      <c r="X36" s="35">
        <v>0</v>
      </c>
      <c r="Y36" s="35">
        <v>0</v>
      </c>
      <c r="Z36" s="35">
        <v>0</v>
      </c>
      <c r="AA36" s="35">
        <v>0</v>
      </c>
      <c r="AB36" s="35">
        <v>0</v>
      </c>
      <c r="AC36" s="35">
        <v>0</v>
      </c>
      <c r="AD36" s="35">
        <v>0</v>
      </c>
      <c r="AE36" s="35">
        <v>0</v>
      </c>
      <c r="AF36" s="35">
        <v>0</v>
      </c>
      <c r="AG36" s="35">
        <v>0</v>
      </c>
      <c r="AH36" s="35">
        <v>0</v>
      </c>
      <c r="AI36" s="35">
        <v>718635</v>
      </c>
    </row>
    <row r="37" spans="2:35" outlineLevel="1" x14ac:dyDescent="0.25">
      <c r="B37" s="41" t="s">
        <v>63</v>
      </c>
      <c r="C37" s="31"/>
      <c r="D37" s="35">
        <v>0</v>
      </c>
      <c r="E37" s="35">
        <v>0</v>
      </c>
      <c r="F37" s="35">
        <v>0</v>
      </c>
      <c r="G37" s="35">
        <v>0</v>
      </c>
      <c r="H37" s="35"/>
      <c r="I37" s="35">
        <v>0</v>
      </c>
      <c r="J37" s="35">
        <v>0</v>
      </c>
      <c r="K37" s="35">
        <v>0</v>
      </c>
      <c r="L37" s="35">
        <v>0</v>
      </c>
      <c r="M37" s="35">
        <v>0</v>
      </c>
      <c r="N37" s="35">
        <v>0</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5">
        <v>0</v>
      </c>
      <c r="AG37" s="35">
        <v>0</v>
      </c>
      <c r="AH37" s="35">
        <v>0</v>
      </c>
      <c r="AI37" s="35">
        <v>242370</v>
      </c>
    </row>
    <row r="38" spans="2:35" ht="5.0999999999999996" customHeight="1" x14ac:dyDescent="0.25">
      <c r="B38" s="37"/>
      <c r="C38" s="31"/>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row>
    <row r="39" spans="2:35" x14ac:dyDescent="0.25">
      <c r="B39" s="39" t="s">
        <v>157</v>
      </c>
      <c r="C39" s="31"/>
      <c r="D39" s="40">
        <f>+SUM(D24:D37)</f>
        <v>-442229</v>
      </c>
      <c r="E39" s="40">
        <f>+SUM(E24:E37)</f>
        <v>-457012</v>
      </c>
      <c r="F39" s="40">
        <f>+SUM(F24:F37)</f>
        <v>-101674</v>
      </c>
      <c r="G39" s="40">
        <f>(+SUM(G24:G37))</f>
        <v>-1714129</v>
      </c>
      <c r="H39" s="40">
        <f>(+SUM(H24:H37))</f>
        <v>-100962</v>
      </c>
      <c r="I39" s="40">
        <f t="shared" ref="I39" si="3">+SUM(I24:I37)</f>
        <v>-113193</v>
      </c>
      <c r="J39" s="40">
        <f>(+SUM(J24:J37))</f>
        <v>-2029958</v>
      </c>
      <c r="K39" s="40">
        <f t="shared" ref="K39:AI39" si="4">+SUM(K24:K37)</f>
        <v>-69343</v>
      </c>
      <c r="L39" s="40">
        <f t="shared" si="4"/>
        <v>-123353</v>
      </c>
      <c r="M39" s="40">
        <f t="shared" si="4"/>
        <v>-244248</v>
      </c>
      <c r="N39" s="40">
        <f t="shared" si="4"/>
        <v>-117726</v>
      </c>
      <c r="O39" s="40">
        <f t="shared" si="4"/>
        <v>-554670</v>
      </c>
      <c r="P39" s="40">
        <f t="shared" si="4"/>
        <v>-229922</v>
      </c>
      <c r="Q39" s="40">
        <f t="shared" si="4"/>
        <v>-97716</v>
      </c>
      <c r="R39" s="40">
        <f t="shared" si="4"/>
        <v>-132590</v>
      </c>
      <c r="S39" s="40">
        <f t="shared" si="4"/>
        <v>-111832.607</v>
      </c>
      <c r="T39" s="40">
        <f t="shared" si="4"/>
        <v>-572060.60699999996</v>
      </c>
      <c r="U39" s="40">
        <f t="shared" si="4"/>
        <v>-403706</v>
      </c>
      <c r="V39" s="40">
        <f t="shared" si="4"/>
        <v>-28176</v>
      </c>
      <c r="W39" s="40">
        <f t="shared" si="4"/>
        <v>-127296</v>
      </c>
      <c r="X39" s="40">
        <f t="shared" si="4"/>
        <v>-116596</v>
      </c>
      <c r="Y39" s="40">
        <f t="shared" si="4"/>
        <v>-675774</v>
      </c>
      <c r="Z39" s="40">
        <f t="shared" si="4"/>
        <v>-165782</v>
      </c>
      <c r="AA39" s="40">
        <f t="shared" si="4"/>
        <v>-266456</v>
      </c>
      <c r="AB39" s="40">
        <f t="shared" si="4"/>
        <v>-260529</v>
      </c>
      <c r="AC39" s="40">
        <f t="shared" si="4"/>
        <v>-190012</v>
      </c>
      <c r="AD39" s="40">
        <f t="shared" si="4"/>
        <v>-882779</v>
      </c>
      <c r="AE39" s="40">
        <f t="shared" si="4"/>
        <v>-2994747</v>
      </c>
      <c r="AF39" s="40">
        <f t="shared" si="4"/>
        <v>145990.81550000003</v>
      </c>
      <c r="AG39" s="40">
        <f t="shared" si="4"/>
        <v>-459382.30200000003</v>
      </c>
      <c r="AH39" s="40">
        <f t="shared" si="4"/>
        <v>795572.8125</v>
      </c>
      <c r="AI39" s="40">
        <f t="shared" si="4"/>
        <v>356143.55299278744</v>
      </c>
    </row>
    <row r="40" spans="2:35" x14ac:dyDescent="0.25">
      <c r="B40" s="36"/>
      <c r="C40" s="31"/>
      <c r="D40" s="35"/>
      <c r="E40" s="35"/>
      <c r="F40" s="35"/>
      <c r="G40" s="35"/>
      <c r="H40" s="35"/>
      <c r="I40" s="35"/>
      <c r="K40" s="35"/>
      <c r="L40" s="35"/>
      <c r="M40" s="35"/>
      <c r="N40" s="35"/>
      <c r="O40" s="35"/>
      <c r="P40" s="35"/>
      <c r="Q40" s="35"/>
      <c r="R40" s="35"/>
      <c r="S40" s="35"/>
      <c r="T40" s="35"/>
      <c r="AD40" s="35"/>
      <c r="AE40" s="35"/>
      <c r="AF40" s="35"/>
      <c r="AG40" s="35"/>
      <c r="AH40" s="35"/>
      <c r="AI40" s="35"/>
    </row>
    <row r="41" spans="2:35" x14ac:dyDescent="0.25">
      <c r="B41" s="41" t="s">
        <v>64</v>
      </c>
      <c r="C41" s="31"/>
      <c r="D41" s="35">
        <v>-235569</v>
      </c>
      <c r="E41" s="35">
        <v>-215938</v>
      </c>
      <c r="F41" s="35">
        <v>0</v>
      </c>
      <c r="G41" s="35">
        <v>0</v>
      </c>
      <c r="H41" s="35">
        <v>-196308</v>
      </c>
      <c r="I41" s="35">
        <v>0</v>
      </c>
      <c r="J41" s="35">
        <v>-196308</v>
      </c>
      <c r="K41" s="35">
        <v>0</v>
      </c>
      <c r="L41" s="35">
        <v>0</v>
      </c>
      <c r="M41" s="35">
        <v>-176677</v>
      </c>
      <c r="N41" s="35">
        <v>0</v>
      </c>
      <c r="O41" s="35">
        <v>-176677</v>
      </c>
      <c r="P41" s="35">
        <v>0</v>
      </c>
      <c r="Q41" s="35">
        <v>0</v>
      </c>
      <c r="R41" s="35">
        <v>-176677</v>
      </c>
      <c r="S41" s="35">
        <v>0</v>
      </c>
      <c r="T41" s="35">
        <v>-176677</v>
      </c>
      <c r="U41" s="35">
        <v>0</v>
      </c>
      <c r="V41" s="35">
        <v>0</v>
      </c>
      <c r="W41" s="35">
        <v>-147231</v>
      </c>
      <c r="X41" s="35">
        <v>0</v>
      </c>
      <c r="Y41" s="35">
        <v>-147231</v>
      </c>
      <c r="Z41" s="35">
        <v>0</v>
      </c>
      <c r="AA41" s="35">
        <v>0</v>
      </c>
      <c r="AB41" s="35">
        <v>-127600</v>
      </c>
      <c r="AC41" s="35">
        <v>0</v>
      </c>
      <c r="AD41" s="35">
        <v>-127600</v>
      </c>
      <c r="AE41" s="35">
        <v>-147231</v>
      </c>
      <c r="AF41" s="35">
        <v>-147231</v>
      </c>
      <c r="AG41" s="35">
        <v>-100237</v>
      </c>
      <c r="AH41" s="35">
        <v>0</v>
      </c>
      <c r="AI41" s="35">
        <v>-100237</v>
      </c>
    </row>
    <row r="42" spans="2:35" x14ac:dyDescent="0.25">
      <c r="B42" s="41" t="s">
        <v>129</v>
      </c>
      <c r="C42" s="31"/>
      <c r="D42" s="35">
        <v>-29594</v>
      </c>
      <c r="E42" s="35">
        <v>-20940</v>
      </c>
      <c r="F42" s="35">
        <v>0</v>
      </c>
      <c r="G42" s="35">
        <v>0</v>
      </c>
      <c r="H42" s="35">
        <v>-30573</v>
      </c>
      <c r="I42" s="35">
        <v>0</v>
      </c>
      <c r="J42" s="35">
        <v>-30573</v>
      </c>
      <c r="K42" s="35">
        <v>0</v>
      </c>
      <c r="L42" s="35">
        <v>0</v>
      </c>
      <c r="M42" s="35">
        <v>-50829</v>
      </c>
      <c r="N42" s="35">
        <v>0</v>
      </c>
      <c r="O42" s="35">
        <v>-50829</v>
      </c>
      <c r="P42" s="35">
        <v>0</v>
      </c>
      <c r="Q42" s="35">
        <v>0</v>
      </c>
      <c r="R42" s="35">
        <v>-32743.000000000004</v>
      </c>
      <c r="S42" s="35">
        <v>0</v>
      </c>
      <c r="T42" s="35">
        <v>-32743.000000000004</v>
      </c>
      <c r="U42" s="35">
        <v>0</v>
      </c>
      <c r="V42" s="35">
        <v>0</v>
      </c>
      <c r="W42" s="35">
        <v>-33632</v>
      </c>
      <c r="X42" s="35">
        <v>0</v>
      </c>
      <c r="Y42" s="35">
        <v>-33632</v>
      </c>
      <c r="Z42" s="35">
        <v>-39260</v>
      </c>
      <c r="AA42" s="35">
        <v>0</v>
      </c>
      <c r="AB42" s="35">
        <v>-27444</v>
      </c>
      <c r="AC42" s="35">
        <v>0</v>
      </c>
      <c r="AD42" s="35">
        <v>-66704</v>
      </c>
      <c r="AE42" s="35">
        <v>-15902</v>
      </c>
      <c r="AF42" s="35">
        <v>-140579</v>
      </c>
      <c r="AG42" s="35">
        <v>-38304</v>
      </c>
      <c r="AH42" s="35">
        <v>0</v>
      </c>
      <c r="AI42" s="35">
        <v>-19595</v>
      </c>
    </row>
    <row r="43" spans="2:35" ht="15" customHeight="1" outlineLevel="1" x14ac:dyDescent="0.25">
      <c r="B43" s="43" t="s">
        <v>58</v>
      </c>
      <c r="C43" s="31"/>
      <c r="D43" s="35">
        <v>0</v>
      </c>
      <c r="E43" s="35">
        <v>0</v>
      </c>
      <c r="F43" s="35"/>
      <c r="G43" s="35"/>
      <c r="I43" s="35"/>
      <c r="K43" s="35">
        <v>0</v>
      </c>
      <c r="L43" s="35">
        <v>0</v>
      </c>
      <c r="M43" s="35">
        <v>0</v>
      </c>
      <c r="N43" s="35">
        <v>0</v>
      </c>
      <c r="O43" s="35">
        <v>0</v>
      </c>
      <c r="P43" s="35">
        <v>0</v>
      </c>
      <c r="Q43" s="35">
        <v>0</v>
      </c>
      <c r="R43" s="35">
        <v>-74000.00003000001</v>
      </c>
      <c r="S43" s="35">
        <v>0</v>
      </c>
      <c r="T43" s="35">
        <v>-74000.00003000001</v>
      </c>
      <c r="U43" s="35">
        <v>0</v>
      </c>
      <c r="V43" s="35">
        <v>0</v>
      </c>
      <c r="W43" s="35">
        <v>0</v>
      </c>
      <c r="X43" s="35">
        <v>0</v>
      </c>
      <c r="Y43" s="35">
        <v>0</v>
      </c>
      <c r="Z43" s="35">
        <v>0</v>
      </c>
      <c r="AA43" s="35">
        <v>0</v>
      </c>
      <c r="AB43" s="35">
        <v>-929</v>
      </c>
      <c r="AC43" s="35">
        <v>0</v>
      </c>
      <c r="AD43" s="35">
        <v>-929</v>
      </c>
      <c r="AE43" s="35">
        <v>0</v>
      </c>
      <c r="AF43" s="35">
        <v>0</v>
      </c>
      <c r="AG43" s="35">
        <v>0</v>
      </c>
      <c r="AH43" s="35">
        <v>0</v>
      </c>
      <c r="AI43" s="35">
        <v>0</v>
      </c>
    </row>
    <row r="44" spans="2:35" outlineLevel="1" x14ac:dyDescent="0.25">
      <c r="B44" s="36" t="s">
        <v>65</v>
      </c>
      <c r="C44" s="31"/>
      <c r="D44" s="35">
        <v>0</v>
      </c>
      <c r="E44" s="35">
        <v>0</v>
      </c>
      <c r="F44" s="35">
        <v>0</v>
      </c>
      <c r="G44" s="35">
        <v>0</v>
      </c>
      <c r="H44" s="35">
        <v>0</v>
      </c>
      <c r="I44" s="35">
        <v>0</v>
      </c>
      <c r="J44" s="35">
        <v>0</v>
      </c>
      <c r="K44" s="35">
        <v>0</v>
      </c>
      <c r="L44" s="35">
        <v>0</v>
      </c>
      <c r="M44" s="35">
        <v>0</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5">
        <v>-150000</v>
      </c>
      <c r="AG44" s="35">
        <v>0</v>
      </c>
      <c r="AH44" s="35">
        <v>0</v>
      </c>
      <c r="AI44" s="35">
        <v>0</v>
      </c>
    </row>
    <row r="45" spans="2:35" outlineLevel="1" x14ac:dyDescent="0.25">
      <c r="B45" s="136" t="s">
        <v>145</v>
      </c>
      <c r="C45" s="31"/>
      <c r="D45" s="35">
        <v>0</v>
      </c>
      <c r="E45" s="35">
        <v>0</v>
      </c>
      <c r="F45" s="35">
        <v>0</v>
      </c>
      <c r="G45" s="35">
        <v>0</v>
      </c>
      <c r="H45" s="35">
        <v>0</v>
      </c>
      <c r="I45" s="35">
        <v>0</v>
      </c>
      <c r="J45" s="35">
        <v>0</v>
      </c>
      <c r="K45" s="35">
        <v>0</v>
      </c>
      <c r="L45" s="35">
        <v>0</v>
      </c>
      <c r="M45" s="35">
        <v>0</v>
      </c>
      <c r="N45" s="35">
        <v>0</v>
      </c>
      <c r="O45" s="35">
        <v>0</v>
      </c>
      <c r="P45" s="35">
        <v>0</v>
      </c>
      <c r="Q45" s="35">
        <v>0</v>
      </c>
      <c r="R45" s="35">
        <v>0</v>
      </c>
      <c r="S45" s="35">
        <v>30870</v>
      </c>
      <c r="T45" s="35">
        <v>30870</v>
      </c>
      <c r="U45" s="35">
        <v>0</v>
      </c>
      <c r="V45" s="35">
        <v>0</v>
      </c>
      <c r="W45" s="35">
        <v>0</v>
      </c>
      <c r="X45" s="35">
        <v>0</v>
      </c>
      <c r="Y45" s="35">
        <v>0</v>
      </c>
      <c r="Z45" s="35">
        <v>0</v>
      </c>
      <c r="AA45" s="35">
        <v>0</v>
      </c>
      <c r="AB45" s="35">
        <v>0</v>
      </c>
      <c r="AC45" s="35">
        <v>0</v>
      </c>
      <c r="AD45" s="35">
        <v>0</v>
      </c>
      <c r="AE45" s="35">
        <v>41650</v>
      </c>
      <c r="AF45" s="35">
        <v>39200</v>
      </c>
      <c r="AG45" s="35">
        <v>4900</v>
      </c>
      <c r="AH45" s="35">
        <v>0</v>
      </c>
      <c r="AI45" s="35">
        <v>0</v>
      </c>
    </row>
    <row r="46" spans="2:35" x14ac:dyDescent="0.25">
      <c r="B46" s="112" t="s">
        <v>158</v>
      </c>
      <c r="C46" s="31"/>
      <c r="D46" s="35">
        <v>-23400</v>
      </c>
      <c r="E46" s="35">
        <v>-7565</v>
      </c>
      <c r="F46" s="35">
        <v>-3074</v>
      </c>
      <c r="G46" s="35">
        <v>0</v>
      </c>
      <c r="H46" s="35">
        <v>0</v>
      </c>
      <c r="I46" s="35">
        <v>-1083</v>
      </c>
      <c r="J46" s="35">
        <v>-4157</v>
      </c>
      <c r="K46" s="35"/>
      <c r="L46" s="35"/>
      <c r="M46" s="35"/>
      <c r="N46" s="35"/>
      <c r="O46" s="35"/>
      <c r="P46" s="35"/>
      <c r="Q46" s="35"/>
      <c r="R46" s="35"/>
      <c r="S46" s="35"/>
      <c r="T46" s="35"/>
      <c r="AD46" s="35"/>
      <c r="AE46" s="35"/>
      <c r="AF46" s="35"/>
      <c r="AG46" s="35"/>
      <c r="AH46" s="35"/>
      <c r="AI46" s="35"/>
    </row>
    <row r="47" spans="2:35" x14ac:dyDescent="0.25">
      <c r="B47" s="36" t="s">
        <v>66</v>
      </c>
      <c r="C47" s="31"/>
      <c r="D47" s="35">
        <v>869359</v>
      </c>
      <c r="E47" s="35">
        <v>1188731</v>
      </c>
      <c r="F47" s="35">
        <v>426890</v>
      </c>
      <c r="G47" s="35">
        <v>1953857</v>
      </c>
      <c r="H47" s="35">
        <v>519447</v>
      </c>
      <c r="I47" s="35">
        <v>338927</v>
      </c>
      <c r="J47" s="35">
        <v>3239121</v>
      </c>
      <c r="K47" s="35">
        <v>117094</v>
      </c>
      <c r="L47" s="35">
        <v>182983</v>
      </c>
      <c r="M47" s="35">
        <v>403150</v>
      </c>
      <c r="N47" s="35">
        <v>207350</v>
      </c>
      <c r="O47" s="35">
        <v>910577</v>
      </c>
      <c r="P47" s="35">
        <v>141013</v>
      </c>
      <c r="Q47" s="35">
        <v>279687</v>
      </c>
      <c r="R47" s="35">
        <v>273950</v>
      </c>
      <c r="S47" s="35">
        <v>128013</v>
      </c>
      <c r="T47" s="35">
        <v>822663.00000000012</v>
      </c>
      <c r="U47" s="35">
        <v>257148.00000000003</v>
      </c>
      <c r="V47" s="35">
        <v>187357</v>
      </c>
      <c r="W47" s="35">
        <v>346258</v>
      </c>
      <c r="X47" s="35">
        <v>248057</v>
      </c>
      <c r="Y47" s="35">
        <v>1038819.9999999999</v>
      </c>
      <c r="Z47" s="35">
        <v>890915</v>
      </c>
      <c r="AA47" s="35">
        <v>443901</v>
      </c>
      <c r="AB47" s="35">
        <v>339604</v>
      </c>
      <c r="AC47" s="35">
        <v>189448</v>
      </c>
      <c r="AD47" s="35">
        <v>1863868.0000000002</v>
      </c>
      <c r="AE47" s="35">
        <v>1284659</v>
      </c>
      <c r="AF47" s="35">
        <v>666180</v>
      </c>
      <c r="AG47" s="35">
        <v>35440.999999999993</v>
      </c>
      <c r="AH47" s="35">
        <v>218806.72500000001</v>
      </c>
      <c r="AI47" s="35">
        <v>519809.00000000006</v>
      </c>
    </row>
    <row r="48" spans="2:35" x14ac:dyDescent="0.25">
      <c r="B48" s="36" t="s">
        <v>67</v>
      </c>
      <c r="C48" s="31"/>
      <c r="D48" s="35">
        <v>-353805</v>
      </c>
      <c r="E48" s="35">
        <v>-2266560</v>
      </c>
      <c r="F48" s="35">
        <v>-399553</v>
      </c>
      <c r="G48" s="35">
        <v>-279023</v>
      </c>
      <c r="H48" s="35">
        <v>-318949</v>
      </c>
      <c r="I48" s="35">
        <v>-208302</v>
      </c>
      <c r="J48" s="35">
        <v>-1205827</v>
      </c>
      <c r="K48" s="35">
        <v>-290846</v>
      </c>
      <c r="L48" s="35">
        <v>-308404</v>
      </c>
      <c r="M48" s="35">
        <v>-299666</v>
      </c>
      <c r="N48" s="35">
        <v>-292854</v>
      </c>
      <c r="O48" s="35">
        <v>-1191770</v>
      </c>
      <c r="P48" s="35">
        <v>-270960</v>
      </c>
      <c r="Q48" s="35">
        <v>-496499</v>
      </c>
      <c r="R48" s="35">
        <v>-293971</v>
      </c>
      <c r="S48" s="35">
        <v>-318317</v>
      </c>
      <c r="T48" s="35">
        <v>-1379747</v>
      </c>
      <c r="U48" s="35">
        <v>-191858</v>
      </c>
      <c r="V48" s="35">
        <v>-332870</v>
      </c>
      <c r="W48" s="35">
        <v>-57063</v>
      </c>
      <c r="X48" s="35">
        <v>-191605</v>
      </c>
      <c r="Y48" s="35">
        <v>-773396.00000000012</v>
      </c>
      <c r="Z48" s="35">
        <v>-943812</v>
      </c>
      <c r="AA48" s="35">
        <v>-528120</v>
      </c>
      <c r="AB48" s="35">
        <v>-199241</v>
      </c>
      <c r="AC48" s="35">
        <v>-463538</v>
      </c>
      <c r="AD48" s="35">
        <v>-2134711.0000000005</v>
      </c>
      <c r="AE48" s="35">
        <v>-814976.00000000012</v>
      </c>
      <c r="AF48" s="35">
        <v>-632140</v>
      </c>
      <c r="AG48" s="35">
        <v>-555215.576</v>
      </c>
      <c r="AH48" s="35">
        <v>-1140657.2709999999</v>
      </c>
      <c r="AI48" s="35">
        <v>-1152886</v>
      </c>
    </row>
    <row r="49" spans="2:36" ht="5.0999999999999996" customHeight="1" x14ac:dyDescent="0.25">
      <c r="B49" s="37"/>
      <c r="C49" s="31"/>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2:36" x14ac:dyDescent="0.25">
      <c r="B50" s="39" t="s">
        <v>165</v>
      </c>
      <c r="C50" s="31"/>
      <c r="D50" s="40">
        <f t="shared" ref="D50" si="5">+SUM(D41:D48)</f>
        <v>226991</v>
      </c>
      <c r="E50" s="40">
        <f t="shared" ref="E50" si="6">+SUM(E41:E48)</f>
        <v>-1322272</v>
      </c>
      <c r="F50" s="40">
        <f t="shared" ref="F50:AI50" si="7">+SUM(F41:F48)</f>
        <v>24263</v>
      </c>
      <c r="G50" s="40">
        <f t="shared" si="7"/>
        <v>1674834</v>
      </c>
      <c r="H50" s="40">
        <f t="shared" si="7"/>
        <v>-26383</v>
      </c>
      <c r="I50" s="40">
        <f t="shared" si="7"/>
        <v>129542</v>
      </c>
      <c r="J50" s="40">
        <f t="shared" si="7"/>
        <v>1802256</v>
      </c>
      <c r="K50" s="40">
        <f t="shared" si="7"/>
        <v>-173752</v>
      </c>
      <c r="L50" s="40">
        <f t="shared" si="7"/>
        <v>-125421</v>
      </c>
      <c r="M50" s="40">
        <f t="shared" si="7"/>
        <v>-124022</v>
      </c>
      <c r="N50" s="40">
        <f t="shared" si="7"/>
        <v>-85504</v>
      </c>
      <c r="O50" s="40">
        <f t="shared" si="7"/>
        <v>-508699</v>
      </c>
      <c r="P50" s="40">
        <f t="shared" si="7"/>
        <v>-129947</v>
      </c>
      <c r="Q50" s="40">
        <f t="shared" si="7"/>
        <v>-216812</v>
      </c>
      <c r="R50" s="40">
        <f t="shared" si="7"/>
        <v>-303441.00003</v>
      </c>
      <c r="S50" s="40">
        <f t="shared" si="7"/>
        <v>-159434</v>
      </c>
      <c r="T50" s="40">
        <f t="shared" si="7"/>
        <v>-809634.00002999988</v>
      </c>
      <c r="U50" s="40">
        <f t="shared" si="7"/>
        <v>65290.000000000029</v>
      </c>
      <c r="V50" s="40">
        <f t="shared" si="7"/>
        <v>-145513</v>
      </c>
      <c r="W50" s="40">
        <f t="shared" si="7"/>
        <v>108332</v>
      </c>
      <c r="X50" s="40">
        <f t="shared" si="7"/>
        <v>56452</v>
      </c>
      <c r="Y50" s="40">
        <f t="shared" si="7"/>
        <v>84560.999999999767</v>
      </c>
      <c r="Z50" s="40">
        <f t="shared" si="7"/>
        <v>-92157</v>
      </c>
      <c r="AA50" s="40">
        <f t="shared" si="7"/>
        <v>-84219</v>
      </c>
      <c r="AB50" s="40">
        <f t="shared" si="7"/>
        <v>-15610</v>
      </c>
      <c r="AC50" s="40">
        <f t="shared" si="7"/>
        <v>-274090</v>
      </c>
      <c r="AD50" s="40">
        <f t="shared" si="7"/>
        <v>-466076.00000000023</v>
      </c>
      <c r="AE50" s="40">
        <f t="shared" si="7"/>
        <v>348199.99999999988</v>
      </c>
      <c r="AF50" s="40">
        <f t="shared" si="7"/>
        <v>-364570</v>
      </c>
      <c r="AG50" s="40">
        <f t="shared" si="7"/>
        <v>-653415.576</v>
      </c>
      <c r="AH50" s="40">
        <f t="shared" si="7"/>
        <v>-921850.54599999997</v>
      </c>
      <c r="AI50" s="40">
        <f t="shared" si="7"/>
        <v>-752909</v>
      </c>
    </row>
    <row r="51" spans="2:36" x14ac:dyDescent="0.25">
      <c r="B51" s="36"/>
      <c r="C51" s="31"/>
      <c r="D51" s="35"/>
      <c r="E51" s="35"/>
      <c r="F51" s="35"/>
      <c r="G51" s="35"/>
      <c r="H51" s="35"/>
      <c r="I51" s="35"/>
      <c r="K51" s="35"/>
      <c r="L51" s="35"/>
      <c r="M51" s="35"/>
      <c r="N51" s="35"/>
      <c r="O51" s="35"/>
      <c r="P51" s="35"/>
      <c r="Q51" s="35"/>
      <c r="R51" s="35"/>
      <c r="S51" s="35"/>
      <c r="T51" s="35"/>
      <c r="AD51" s="35"/>
      <c r="AE51" s="35"/>
      <c r="AF51" s="35"/>
      <c r="AG51" s="35"/>
      <c r="AH51" s="35"/>
      <c r="AI51" s="35"/>
    </row>
    <row r="52" spans="2:36" x14ac:dyDescent="0.25">
      <c r="B52" s="39" t="s">
        <v>182</v>
      </c>
      <c r="C52" s="31"/>
      <c r="D52" s="40">
        <f t="shared" ref="D52" si="8">+D22+D39+D50</f>
        <v>534330.94874999998</v>
      </c>
      <c r="E52" s="40">
        <f t="shared" ref="E52" si="9">+E22+E39+E50</f>
        <v>-40019</v>
      </c>
      <c r="F52" s="40">
        <f t="shared" ref="F52:I52" si="10">+F22+F39+F50</f>
        <v>-45302</v>
      </c>
      <c r="G52" s="40">
        <f t="shared" si="10"/>
        <v>205997</v>
      </c>
      <c r="H52" s="40">
        <f t="shared" si="10"/>
        <v>-106647</v>
      </c>
      <c r="I52" s="40">
        <f t="shared" si="10"/>
        <v>102109</v>
      </c>
      <c r="J52" s="40">
        <f>+J22+J39+J50</f>
        <v>156157</v>
      </c>
      <c r="K52" s="40">
        <f t="shared" ref="K52:AI52" si="11">+K22+K39+K50</f>
        <v>34980</v>
      </c>
      <c r="L52" s="40">
        <f t="shared" si="11"/>
        <v>-28411</v>
      </c>
      <c r="M52" s="40">
        <f t="shared" si="11"/>
        <v>-4531</v>
      </c>
      <c r="N52" s="40">
        <f t="shared" si="11"/>
        <v>34188</v>
      </c>
      <c r="O52" s="40">
        <f t="shared" si="11"/>
        <v>36226</v>
      </c>
      <c r="P52" s="40">
        <f t="shared" si="11"/>
        <v>-46373</v>
      </c>
      <c r="Q52" s="40">
        <f t="shared" si="11"/>
        <v>-63063</v>
      </c>
      <c r="R52" s="40">
        <f t="shared" si="11"/>
        <v>-1292.0000299999956</v>
      </c>
      <c r="S52" s="40">
        <f t="shared" si="11"/>
        <v>52524.392999999982</v>
      </c>
      <c r="T52" s="40">
        <f t="shared" si="11"/>
        <v>-58203.607029999839</v>
      </c>
      <c r="U52" s="40">
        <f t="shared" si="11"/>
        <v>-130087.99999999997</v>
      </c>
      <c r="V52" s="40">
        <f t="shared" si="11"/>
        <v>114133</v>
      </c>
      <c r="W52" s="40">
        <f t="shared" si="11"/>
        <v>14647</v>
      </c>
      <c r="X52" s="40">
        <f t="shared" si="11"/>
        <v>-84061</v>
      </c>
      <c r="Y52" s="40">
        <f t="shared" si="11"/>
        <v>-85369.000000000233</v>
      </c>
      <c r="Z52" s="40">
        <f t="shared" si="11"/>
        <v>-11267</v>
      </c>
      <c r="AA52" s="40">
        <f t="shared" si="11"/>
        <v>-60705</v>
      </c>
      <c r="AB52" s="40">
        <f t="shared" si="11"/>
        <v>-68334</v>
      </c>
      <c r="AC52" s="40">
        <f t="shared" si="11"/>
        <v>-116375</v>
      </c>
      <c r="AD52" s="40">
        <f t="shared" si="11"/>
        <v>-256681.00000000023</v>
      </c>
      <c r="AE52" s="40">
        <f t="shared" si="11"/>
        <v>-1591455</v>
      </c>
      <c r="AF52" s="40">
        <f t="shared" si="11"/>
        <v>403790.38950000016</v>
      </c>
      <c r="AG52" s="40">
        <f t="shared" si="11"/>
        <v>-315541.76849999977</v>
      </c>
      <c r="AH52" s="40">
        <f t="shared" si="11"/>
        <v>1028637.6217278758</v>
      </c>
      <c r="AI52" s="40">
        <f t="shared" si="11"/>
        <v>115112.87912827497</v>
      </c>
    </row>
    <row r="53" spans="2:36" hidden="1" outlineLevel="1" x14ac:dyDescent="0.25">
      <c r="B53" s="3" t="s">
        <v>108</v>
      </c>
      <c r="I53" s="35"/>
      <c r="N53" s="35"/>
      <c r="O53" s="35"/>
      <c r="S53" s="35"/>
      <c r="T53" s="35"/>
      <c r="AF53" s="4">
        <v>1779294.9765000006</v>
      </c>
      <c r="AG53" s="4">
        <v>2093799.7450000003</v>
      </c>
      <c r="AH53" s="4">
        <v>1065319.1232721242</v>
      </c>
      <c r="AI53" s="4">
        <v>1125618.5599999998</v>
      </c>
    </row>
    <row r="54" spans="2:36" hidden="1" outlineLevel="1" x14ac:dyDescent="0.25">
      <c r="B54" s="3" t="s">
        <v>109</v>
      </c>
      <c r="I54" s="35"/>
      <c r="N54" s="35"/>
      <c r="O54" s="35"/>
      <c r="S54" s="35"/>
      <c r="T54" s="35"/>
      <c r="AF54" s="4">
        <v>-20125</v>
      </c>
      <c r="AG54" s="4">
        <v>1038.9999999999998</v>
      </c>
      <c r="AH54" s="4">
        <v>-157.00000000000003</v>
      </c>
      <c r="AI54" s="4">
        <v>-17518</v>
      </c>
    </row>
    <row r="55" spans="2:36" hidden="1" outlineLevel="1" x14ac:dyDescent="0.25">
      <c r="B55" s="3" t="s">
        <v>110</v>
      </c>
      <c r="I55" s="35"/>
      <c r="N55" s="35"/>
      <c r="O55" s="35"/>
      <c r="S55" s="35"/>
      <c r="T55" s="35"/>
      <c r="AF55" s="4">
        <f>+AF52</f>
        <v>403790.38950000016</v>
      </c>
      <c r="AG55" s="4">
        <f>+AG52</f>
        <v>-315541.76849999977</v>
      </c>
      <c r="AH55" s="4">
        <f>+AH52</f>
        <v>1028637.6217278758</v>
      </c>
      <c r="AI55" s="4">
        <f>+AI52</f>
        <v>115112.87912827497</v>
      </c>
    </row>
    <row r="56" spans="2:36" hidden="1" outlineLevel="1" x14ac:dyDescent="0.25">
      <c r="B56" s="3" t="s">
        <v>111</v>
      </c>
      <c r="I56" s="35"/>
      <c r="N56" s="35"/>
      <c r="O56" s="35"/>
      <c r="S56" s="35"/>
      <c r="T56" s="35"/>
      <c r="AF56" s="4">
        <v>0</v>
      </c>
      <c r="AG56" s="4">
        <v>0</v>
      </c>
      <c r="AH56" s="4">
        <v>0</v>
      </c>
      <c r="AI56" s="4">
        <v>-157894</v>
      </c>
    </row>
    <row r="57" spans="2:36" hidden="1" outlineLevel="1" x14ac:dyDescent="0.25">
      <c r="I57" s="35"/>
      <c r="N57" s="35"/>
      <c r="O57" s="35"/>
      <c r="S57" s="35"/>
      <c r="T57" s="35"/>
      <c r="AF57" s="107">
        <f>+SUM(AF53:AF56)</f>
        <v>2162960.3660000009</v>
      </c>
      <c r="AG57" s="107">
        <f>+SUM(AG53:AG56)</f>
        <v>1779296.9765000006</v>
      </c>
      <c r="AH57" s="107">
        <f>+SUM(AH53:AH56)</f>
        <v>2093799.7450000001</v>
      </c>
      <c r="AI57" s="107">
        <f>+SUM(AI53:AI56)</f>
        <v>1065319.4391282748</v>
      </c>
    </row>
    <row r="58" spans="2:36" hidden="1" outlineLevel="1" x14ac:dyDescent="0.25">
      <c r="I58" s="35"/>
      <c r="N58" s="35"/>
      <c r="O58" s="35"/>
      <c r="S58" s="35"/>
      <c r="T58" s="35"/>
      <c r="AF58" s="111" t="e">
        <f>+AF57-#REF!</f>
        <v>#REF!</v>
      </c>
      <c r="AG58" s="111" t="e">
        <f>+AG57-#REF!</f>
        <v>#REF!</v>
      </c>
      <c r="AH58" s="111" t="e">
        <f>+AH57-#REF!</f>
        <v>#REF!</v>
      </c>
      <c r="AI58" s="111" t="e">
        <f>+AI57-#REF!</f>
        <v>#REF!</v>
      </c>
      <c r="AJ58" s="3" t="s">
        <v>114</v>
      </c>
    </row>
    <row r="59" spans="2:36" hidden="1" outlineLevel="1" x14ac:dyDescent="0.25">
      <c r="I59" s="35"/>
      <c r="N59" s="35"/>
      <c r="O59" s="35"/>
      <c r="S59" s="35"/>
      <c r="T59" s="35"/>
      <c r="AF59" s="111"/>
      <c r="AG59" s="111">
        <f>+AF53-AG57</f>
        <v>-2</v>
      </c>
      <c r="AH59" s="111">
        <f>+AG53-AH57</f>
        <v>0</v>
      </c>
      <c r="AI59" s="111">
        <f>+AH53-AI57</f>
        <v>-0.31585615058429539</v>
      </c>
    </row>
    <row r="60" spans="2:36" collapsed="1" x14ac:dyDescent="0.25">
      <c r="I60" s="35"/>
      <c r="N60" s="35"/>
      <c r="O60" s="160"/>
      <c r="S60" s="35"/>
      <c r="T60" s="35"/>
    </row>
    <row r="61" spans="2:36" x14ac:dyDescent="0.25">
      <c r="B61" s="140" t="s">
        <v>160</v>
      </c>
      <c r="C61" s="141"/>
    </row>
    <row r="62" spans="2:36" x14ac:dyDescent="0.25">
      <c r="B62" s="142" t="s">
        <v>161</v>
      </c>
      <c r="C62" s="143"/>
      <c r="D62" s="35">
        <v>4266</v>
      </c>
      <c r="E62" s="35">
        <v>0</v>
      </c>
      <c r="F62" s="35">
        <v>77035</v>
      </c>
      <c r="G62" s="35">
        <v>77436</v>
      </c>
      <c r="H62" s="35">
        <v>76185</v>
      </c>
      <c r="I62" s="35">
        <v>74919</v>
      </c>
      <c r="J62" s="35">
        <v>77035</v>
      </c>
      <c r="O62" s="44">
        <v>0</v>
      </c>
      <c r="T62" s="44">
        <v>0</v>
      </c>
      <c r="Y62" s="35">
        <v>0</v>
      </c>
      <c r="AD62" s="44">
        <v>0</v>
      </c>
      <c r="AE62" s="44">
        <v>0</v>
      </c>
      <c r="AF62" s="44">
        <v>0</v>
      </c>
    </row>
    <row r="63" spans="2:36" x14ac:dyDescent="0.25">
      <c r="T63" s="152"/>
      <c r="U63" s="153"/>
      <c r="V63" s="153"/>
      <c r="W63" s="153"/>
      <c r="X63" s="153"/>
      <c r="Y63" s="153"/>
      <c r="Z63" s="153"/>
      <c r="AA63" s="153"/>
      <c r="AB63" s="153"/>
      <c r="AC63" s="153"/>
      <c r="AD63" s="152"/>
      <c r="AE63" s="152"/>
      <c r="AF63" s="152"/>
    </row>
    <row r="64" spans="2:36" x14ac:dyDescent="0.25">
      <c r="B64" s="4"/>
      <c r="G64" s="150"/>
      <c r="H64" s="151"/>
      <c r="I64" s="151"/>
      <c r="K64" s="151"/>
      <c r="L64" s="151"/>
      <c r="M64" s="151"/>
      <c r="N64" s="151"/>
      <c r="O64" s="151"/>
      <c r="P64" s="151"/>
      <c r="Q64" s="151"/>
      <c r="R64" s="151"/>
      <c r="S64" s="151"/>
      <c r="T64" s="154"/>
      <c r="U64" s="154"/>
      <c r="V64" s="154"/>
      <c r="W64" s="154"/>
      <c r="X64" s="154"/>
      <c r="Y64" s="154"/>
      <c r="Z64" s="154"/>
      <c r="AA64" s="154"/>
      <c r="AB64" s="154"/>
      <c r="AC64" s="154"/>
      <c r="AD64" s="154"/>
      <c r="AE64" s="154"/>
      <c r="AF64" s="154"/>
      <c r="AG64" s="154"/>
      <c r="AH64" s="154"/>
      <c r="AI64" s="154"/>
    </row>
    <row r="65" spans="10:10" x14ac:dyDescent="0.25">
      <c r="J65" s="155"/>
    </row>
  </sheetData>
  <mergeCells count="1">
    <mergeCell ref="O6:AI6"/>
  </mergeCells>
  <pageMargins left="0.7" right="0.7" top="0.75" bottom="0.75" header="0.3" footer="0.3"/>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AW70"/>
  <sheetViews>
    <sheetView showGridLines="0" zoomScale="85" zoomScaleNormal="85" zoomScaleSheetLayoutView="80" workbookViewId="0"/>
  </sheetViews>
  <sheetFormatPr baseColWidth="10" defaultColWidth="11.42578125" defaultRowHeight="15" outlineLevelRow="1" outlineLevelCol="1" x14ac:dyDescent="0.25"/>
  <cols>
    <col min="1" max="1" width="5.42578125" style="3" customWidth="1"/>
    <col min="2" max="2" width="42.5703125" style="3" customWidth="1"/>
    <col min="3" max="3" width="3.85546875" style="3" customWidth="1"/>
    <col min="4" max="29" width="10.5703125" style="3" customWidth="1"/>
    <col min="30" max="32" width="11" style="3" customWidth="1"/>
    <col min="33" max="33" width="10.5703125" style="3" customWidth="1"/>
    <col min="34" max="34" width="3.85546875" style="3" customWidth="1"/>
    <col min="35" max="39" width="11" style="3" customWidth="1"/>
    <col min="40" max="40" width="10.85546875" style="3" customWidth="1"/>
    <col min="41" max="43" width="11" style="3" hidden="1" customWidth="1" outlineLevel="1"/>
    <col min="44" max="44" width="11.42578125" style="3" collapsed="1"/>
    <col min="45" max="45" width="14.42578125" style="3" bestFit="1" customWidth="1"/>
    <col min="46" max="16384" width="11.42578125" style="3"/>
  </cols>
  <sheetData>
    <row r="1" spans="1:43" ht="15.75" x14ac:dyDescent="0.25">
      <c r="A1" s="1" t="s">
        <v>68</v>
      </c>
      <c r="B1" s="2"/>
      <c r="AD1" s="4"/>
      <c r="AE1" s="4"/>
      <c r="AF1" s="4"/>
      <c r="AG1" s="4"/>
    </row>
    <row r="2" spans="1:43" ht="15.75" x14ac:dyDescent="0.25">
      <c r="A2" s="1"/>
      <c r="B2" s="169" t="s">
        <v>194</v>
      </c>
      <c r="C2" s="8"/>
      <c r="D2" s="8"/>
      <c r="E2" s="8"/>
      <c r="F2" s="8"/>
      <c r="G2" s="8"/>
      <c r="H2" s="8"/>
      <c r="I2" s="8"/>
      <c r="J2" s="8"/>
      <c r="K2" s="8"/>
      <c r="L2" s="8"/>
      <c r="M2" s="8"/>
      <c r="N2" s="8"/>
      <c r="O2" s="8"/>
      <c r="AD2" s="4"/>
      <c r="AE2" s="4"/>
      <c r="AF2" s="4"/>
      <c r="AG2" s="4"/>
    </row>
    <row r="3" spans="1:43" ht="15.75" x14ac:dyDescent="0.25">
      <c r="A3" s="1"/>
      <c r="B3" s="169" t="s">
        <v>195</v>
      </c>
      <c r="C3" s="8"/>
      <c r="D3" s="8"/>
      <c r="E3" s="8"/>
      <c r="F3" s="8"/>
      <c r="G3" s="8"/>
      <c r="H3" s="8"/>
      <c r="I3" s="8"/>
      <c r="J3" s="8"/>
      <c r="K3" s="8"/>
      <c r="L3" s="8"/>
      <c r="M3" s="8"/>
      <c r="N3" s="8"/>
      <c r="O3" s="8"/>
      <c r="AD3" s="4"/>
      <c r="AE3" s="4"/>
      <c r="AF3" s="4"/>
      <c r="AG3" s="4"/>
    </row>
    <row r="4" spans="1:43" ht="15.75" x14ac:dyDescent="0.25">
      <c r="A4" s="1"/>
      <c r="B4" s="145" t="s">
        <v>178</v>
      </c>
      <c r="C4" s="8"/>
      <c r="D4" s="8"/>
      <c r="E4" s="8"/>
      <c r="F4" s="8"/>
      <c r="G4" s="8"/>
      <c r="H4" s="8"/>
      <c r="I4" s="8"/>
      <c r="J4" s="8"/>
      <c r="K4" s="8"/>
      <c r="L4" s="8"/>
      <c r="M4" s="8"/>
      <c r="N4" s="8"/>
      <c r="O4" s="8"/>
      <c r="AD4" s="4"/>
      <c r="AE4" s="4"/>
      <c r="AF4" s="4"/>
      <c r="AG4" s="4"/>
    </row>
    <row r="5" spans="1:43" ht="15.75" x14ac:dyDescent="0.25">
      <c r="A5" s="1"/>
      <c r="B5" s="145" t="s">
        <v>179</v>
      </c>
      <c r="C5" s="8"/>
      <c r="D5" s="8"/>
      <c r="E5" s="8"/>
      <c r="F5" s="8"/>
      <c r="G5" s="8"/>
      <c r="H5" s="8"/>
      <c r="I5" s="8"/>
      <c r="J5" s="8"/>
      <c r="K5" s="8"/>
      <c r="L5" s="8"/>
      <c r="M5" s="8"/>
      <c r="N5" s="8"/>
      <c r="O5" s="8"/>
      <c r="AD5" s="4"/>
      <c r="AE5" s="4"/>
      <c r="AF5" s="4"/>
      <c r="AG5" s="4"/>
    </row>
    <row r="6" spans="1:43" x14ac:dyDescent="0.25">
      <c r="B6" s="145" t="s">
        <v>180</v>
      </c>
      <c r="C6" s="8"/>
      <c r="D6" s="8"/>
      <c r="E6" s="8"/>
      <c r="F6" s="8"/>
      <c r="G6" s="8"/>
      <c r="H6" s="8"/>
      <c r="I6" s="8"/>
      <c r="J6" s="8"/>
      <c r="K6" s="8"/>
      <c r="L6" s="8"/>
      <c r="M6" s="8"/>
      <c r="N6" s="8"/>
      <c r="O6" s="8"/>
    </row>
    <row r="7" spans="1:43" x14ac:dyDescent="0.25">
      <c r="B7" s="8" t="s">
        <v>181</v>
      </c>
      <c r="C7" s="8"/>
      <c r="D7" s="8"/>
      <c r="E7" s="8"/>
      <c r="F7" s="8"/>
      <c r="G7" s="8"/>
      <c r="H7" s="8"/>
      <c r="I7" s="8"/>
      <c r="J7" s="8"/>
      <c r="K7" s="8"/>
      <c r="L7" s="8"/>
      <c r="M7" s="8"/>
      <c r="N7" s="8"/>
      <c r="O7" s="8"/>
    </row>
    <row r="8" spans="1:43" ht="15" customHeight="1" x14ac:dyDescent="0.25">
      <c r="B8" s="164" t="s">
        <v>69</v>
      </c>
      <c r="C8" s="8"/>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8"/>
      <c r="AI8" s="45" t="s">
        <v>70</v>
      </c>
      <c r="AJ8" s="45" t="s">
        <v>70</v>
      </c>
      <c r="AK8" s="45" t="s">
        <v>70</v>
      </c>
      <c r="AL8" s="45" t="s">
        <v>71</v>
      </c>
      <c r="AM8" s="45" t="s">
        <v>136</v>
      </c>
      <c r="AN8" s="108" t="s">
        <v>163</v>
      </c>
      <c r="AO8" s="108"/>
      <c r="AP8" s="108"/>
      <c r="AQ8" s="108"/>
    </row>
    <row r="9" spans="1:43" x14ac:dyDescent="0.25">
      <c r="B9" s="46" t="s">
        <v>72</v>
      </c>
      <c r="D9" s="46" t="s">
        <v>187</v>
      </c>
      <c r="E9" s="46" t="s">
        <v>201</v>
      </c>
      <c r="F9" s="46" t="s">
        <v>174</v>
      </c>
      <c r="G9" s="46" t="s">
        <v>202</v>
      </c>
      <c r="H9" s="46" t="s">
        <v>198</v>
      </c>
      <c r="I9" s="46" t="s">
        <v>199</v>
      </c>
      <c r="J9" s="46" t="s">
        <v>155</v>
      </c>
      <c r="K9" s="46" t="s">
        <v>154</v>
      </c>
      <c r="L9" s="46" t="s">
        <v>153</v>
      </c>
      <c r="M9" s="46" t="s">
        <v>152</v>
      </c>
      <c r="N9" s="46" t="s">
        <v>138</v>
      </c>
      <c r="O9" s="46" t="s">
        <v>139</v>
      </c>
      <c r="P9" s="46" t="s">
        <v>140</v>
      </c>
      <c r="Q9" s="46" t="s">
        <v>141</v>
      </c>
      <c r="R9" s="46" t="s">
        <v>120</v>
      </c>
      <c r="S9" s="46" t="s">
        <v>121</v>
      </c>
      <c r="T9" s="46" t="s">
        <v>122</v>
      </c>
      <c r="U9" s="46" t="s">
        <v>123</v>
      </c>
      <c r="V9" s="46" t="s">
        <v>103</v>
      </c>
      <c r="W9" s="46" t="s">
        <v>104</v>
      </c>
      <c r="X9" s="46" t="s">
        <v>105</v>
      </c>
      <c r="Y9" s="46" t="s">
        <v>102</v>
      </c>
      <c r="Z9" s="46" t="s">
        <v>99</v>
      </c>
      <c r="AA9" s="46" t="s">
        <v>4</v>
      </c>
      <c r="AB9" s="46" t="s">
        <v>5</v>
      </c>
      <c r="AC9" s="46" t="s">
        <v>6</v>
      </c>
      <c r="AD9" s="46" t="s">
        <v>73</v>
      </c>
      <c r="AE9" s="46" t="s">
        <v>74</v>
      </c>
      <c r="AF9" s="46" t="s">
        <v>75</v>
      </c>
      <c r="AG9" s="46" t="s">
        <v>76</v>
      </c>
      <c r="AI9" s="46">
        <v>2018</v>
      </c>
      <c r="AJ9" s="46">
        <v>2017</v>
      </c>
      <c r="AK9" s="46">
        <v>2016</v>
      </c>
      <c r="AL9" s="46">
        <v>2015</v>
      </c>
      <c r="AM9" s="46">
        <v>2014</v>
      </c>
      <c r="AN9" s="46">
        <v>2013</v>
      </c>
      <c r="AO9" s="46">
        <v>2012</v>
      </c>
      <c r="AP9" s="46">
        <v>2011</v>
      </c>
      <c r="AQ9" s="46">
        <v>2010</v>
      </c>
    </row>
    <row r="10" spans="1:43" x14ac:dyDescent="0.25">
      <c r="B10" s="48"/>
    </row>
    <row r="11" spans="1:43" x14ac:dyDescent="0.25">
      <c r="B11" s="49" t="s">
        <v>77</v>
      </c>
      <c r="D11" s="50">
        <v>3332.6972717785634</v>
      </c>
      <c r="E11" s="50">
        <v>3204.5400281164989</v>
      </c>
      <c r="F11" s="50">
        <v>2963.6118142420742</v>
      </c>
      <c r="G11" s="50">
        <v>3142.9820632669021</v>
      </c>
      <c r="H11" s="50">
        <v>3321.6499513456015</v>
      </c>
      <c r="I11" s="50">
        <v>3522.8318021337022</v>
      </c>
      <c r="J11" s="50">
        <v>3410.7639840181987</v>
      </c>
      <c r="K11" s="50">
        <v>3070.1696711948348</v>
      </c>
      <c r="L11" s="50">
        <v>2640.8187173513898</v>
      </c>
      <c r="M11" s="50">
        <v>2474.8169851392531</v>
      </c>
      <c r="N11" s="50">
        <v>2377.9554274997199</v>
      </c>
      <c r="O11" s="50">
        <v>2347.8590653225488</v>
      </c>
      <c r="P11" s="50">
        <v>2607.7208774124024</v>
      </c>
      <c r="Q11" s="50">
        <v>2430.5116355024852</v>
      </c>
      <c r="R11" s="50">
        <v>2309.5935674808429</v>
      </c>
      <c r="S11" s="50">
        <v>2462.5731610898101</v>
      </c>
      <c r="T11" s="50">
        <v>2397.2483667578313</v>
      </c>
      <c r="U11" s="50">
        <v>2430.8515465079349</v>
      </c>
      <c r="V11" s="50">
        <v>2354.1162793830485</v>
      </c>
      <c r="W11" s="50">
        <v>2335.3765386591158</v>
      </c>
      <c r="X11" s="50">
        <v>2356.7638606316759</v>
      </c>
      <c r="Y11" s="50">
        <v>2335.2342693654073</v>
      </c>
      <c r="Z11" s="50">
        <v>2232.3007670933634</v>
      </c>
      <c r="AA11" s="50">
        <v>2301.7807438178788</v>
      </c>
      <c r="AB11" s="50">
        <v>2212.9206731761742</v>
      </c>
      <c r="AC11" s="50">
        <v>2241.3802390677929</v>
      </c>
      <c r="AD11" s="50">
        <v>2168.1827775467536</v>
      </c>
      <c r="AE11" s="50">
        <v>2264.5461744099312</v>
      </c>
      <c r="AF11" s="50">
        <v>2173.2619963927236</v>
      </c>
      <c r="AG11" s="50">
        <v>2162.2042036295529</v>
      </c>
      <c r="AI11" s="50">
        <v>12951.07563098828</v>
      </c>
      <c r="AJ11" s="50">
        <v>11596.569357703676</v>
      </c>
      <c r="AK11" s="50">
        <v>9764.0470057371567</v>
      </c>
      <c r="AL11" s="50">
        <v>9600.2666418364188</v>
      </c>
      <c r="AM11" s="50">
        <v>9381.4909480392471</v>
      </c>
      <c r="AN11" s="109">
        <v>8988.3824231552098</v>
      </c>
      <c r="AO11" s="109">
        <v>8768.1951519789618</v>
      </c>
      <c r="AP11" s="109">
        <v>8823.5576212809465</v>
      </c>
      <c r="AQ11" s="109">
        <v>8054.5846216527416</v>
      </c>
    </row>
    <row r="12" spans="1:43" x14ac:dyDescent="0.25">
      <c r="B12" s="49"/>
      <c r="D12" s="50"/>
      <c r="E12" s="50"/>
      <c r="F12" s="50"/>
      <c r="G12" s="50"/>
      <c r="H12" s="50"/>
      <c r="I12" s="50"/>
      <c r="J12" s="50"/>
      <c r="K12" s="50"/>
      <c r="L12" s="50"/>
      <c r="M12" s="50"/>
      <c r="N12" s="50">
        <f>0</f>
        <v>0</v>
      </c>
      <c r="O12" s="50"/>
      <c r="P12" s="50"/>
      <c r="Q12" s="50"/>
      <c r="R12" s="50"/>
      <c r="S12" s="50"/>
      <c r="T12" s="50"/>
      <c r="U12" s="50"/>
      <c r="V12" s="50"/>
      <c r="W12" s="50"/>
      <c r="X12" s="50"/>
      <c r="Y12" s="50"/>
      <c r="Z12" s="50"/>
      <c r="AA12" s="50"/>
      <c r="AB12" s="50"/>
      <c r="AC12" s="50"/>
      <c r="AD12" s="50"/>
      <c r="AE12" s="50"/>
      <c r="AF12" s="50"/>
      <c r="AG12" s="50"/>
      <c r="AI12" s="50"/>
      <c r="AJ12" s="50"/>
      <c r="AK12" s="50"/>
      <c r="AL12" s="50"/>
      <c r="AM12" s="50"/>
      <c r="AN12" s="109"/>
      <c r="AO12" s="109"/>
      <c r="AP12" s="109"/>
      <c r="AQ12" s="109"/>
    </row>
    <row r="13" spans="1:43" x14ac:dyDescent="0.25">
      <c r="B13" s="49" t="s">
        <v>78</v>
      </c>
      <c r="D13" s="50">
        <v>2813.3889283101171</v>
      </c>
      <c r="E13" s="50">
        <v>2785.2983073282676</v>
      </c>
      <c r="F13" s="50">
        <v>2635.7202968482839</v>
      </c>
      <c r="G13" s="50">
        <v>2998.9992152249665</v>
      </c>
      <c r="H13" s="50">
        <v>3021.8417479811856</v>
      </c>
      <c r="I13" s="50">
        <v>2796.8582590588835</v>
      </c>
      <c r="J13" s="50">
        <v>2767.4963725270345</v>
      </c>
      <c r="K13" s="50">
        <v>2535.0123768508929</v>
      </c>
      <c r="L13" s="50">
        <v>2322.6558735267736</v>
      </c>
      <c r="M13" s="50">
        <v>2075.0954125842295</v>
      </c>
      <c r="N13" s="50">
        <v>1848.9805407219505</v>
      </c>
      <c r="O13" s="50">
        <v>1855.5371297979939</v>
      </c>
      <c r="P13" s="50">
        <v>1862.1742691904344</v>
      </c>
      <c r="Q13" s="50">
        <v>1655.0596845677528</v>
      </c>
      <c r="R13" s="50">
        <v>1809.3648410498311</v>
      </c>
      <c r="S13" s="50">
        <v>1945.029685457971</v>
      </c>
      <c r="T13" s="50">
        <v>1995.2740476602398</v>
      </c>
      <c r="U13" s="50">
        <v>2125.4928404006282</v>
      </c>
      <c r="V13" s="50">
        <v>2149.7182356461799</v>
      </c>
      <c r="W13" s="50">
        <v>2211.0472281235998</v>
      </c>
      <c r="X13" s="50">
        <v>2202.0952526865167</v>
      </c>
      <c r="Y13" s="50">
        <v>2137.6599073219099</v>
      </c>
      <c r="Z13" s="50">
        <v>2108.6838952357207</v>
      </c>
      <c r="AA13" s="50">
        <v>2143.4901601996307</v>
      </c>
      <c r="AB13" s="50">
        <v>2100.5544406434419</v>
      </c>
      <c r="AC13" s="50">
        <v>2107.2144940792437</v>
      </c>
      <c r="AD13" s="50">
        <v>2064.295991793042</v>
      </c>
      <c r="AE13" s="50">
        <v>2197.978014249341</v>
      </c>
      <c r="AF13" s="50">
        <v>2157.2025883218171</v>
      </c>
      <c r="AG13" s="50">
        <v>2181.6570198066211</v>
      </c>
      <c r="AI13" s="50">
        <v>11453.419519113319</v>
      </c>
      <c r="AJ13" s="50">
        <v>9700.2600354889291</v>
      </c>
      <c r="AK13" s="50">
        <v>7221.7516242781312</v>
      </c>
      <c r="AL13" s="50">
        <v>7875.1614145686699</v>
      </c>
      <c r="AM13" s="50">
        <v>8700.5206237782058</v>
      </c>
      <c r="AN13" s="109">
        <v>8459.942990158037</v>
      </c>
      <c r="AO13" s="109">
        <v>8601.1336141708198</v>
      </c>
      <c r="AP13" s="109">
        <v>9058.9493893986601</v>
      </c>
      <c r="AQ13" s="109">
        <v>7265.6688526735188</v>
      </c>
    </row>
    <row r="14" spans="1:43" x14ac:dyDescent="0.25">
      <c r="B14" s="49" t="s">
        <v>10</v>
      </c>
      <c r="D14" s="50">
        <v>-2336.4095236534763</v>
      </c>
      <c r="E14" s="50">
        <v>-2276.0115257808093</v>
      </c>
      <c r="F14" s="50">
        <v>-2058.0542197695659</v>
      </c>
      <c r="G14" s="50">
        <v>-2080.4237111769298</v>
      </c>
      <c r="H14" s="50">
        <v>-2233.96531294129</v>
      </c>
      <c r="I14" s="50">
        <v>-2152.445903073381</v>
      </c>
      <c r="J14" s="50">
        <v>-2183.8123040401038</v>
      </c>
      <c r="K14" s="50">
        <v>-2007.3901216688855</v>
      </c>
      <c r="L14" s="50">
        <v>-1725.2892490539116</v>
      </c>
      <c r="M14" s="50">
        <v>-1549.2598202195513</v>
      </c>
      <c r="N14" s="50">
        <v>-1418.6524075918305</v>
      </c>
      <c r="O14" s="50">
        <v>-1300.0048113146026</v>
      </c>
      <c r="P14" s="50">
        <v>-1389.3824439883356</v>
      </c>
      <c r="Q14" s="50">
        <v>-1282.9985227492459</v>
      </c>
      <c r="R14" s="50">
        <v>-1433.9833114941262</v>
      </c>
      <c r="S14" s="50">
        <v>-1621.1604786242681</v>
      </c>
      <c r="T14" s="50">
        <v>-1681.2557394772173</v>
      </c>
      <c r="U14" s="50">
        <v>-1720.184230499003</v>
      </c>
      <c r="V14" s="50">
        <v>-1766.6354927574869</v>
      </c>
      <c r="W14" s="50">
        <v>-1765.2642864995191</v>
      </c>
      <c r="X14" s="50">
        <v>-1781.8218424167512</v>
      </c>
      <c r="Y14" s="50">
        <v>-1646.2869684725388</v>
      </c>
      <c r="Z14" s="50">
        <v>-1646.3274482391266</v>
      </c>
      <c r="AA14" s="50">
        <v>-1690.2945383943527</v>
      </c>
      <c r="AB14" s="50">
        <v>-1652.7323082423097</v>
      </c>
      <c r="AC14" s="50">
        <v>-1655.8252556187558</v>
      </c>
      <c r="AD14" s="50">
        <v>-1745.7841394253855</v>
      </c>
      <c r="AE14" s="50">
        <v>-1768.1294164027015</v>
      </c>
      <c r="AF14" s="50">
        <v>-1701.180021951031</v>
      </c>
      <c r="AG14" s="50">
        <v>-1694.4442560761338</v>
      </c>
      <c r="AI14" s="50">
        <v>-8524.8891469611663</v>
      </c>
      <c r="AJ14" s="50">
        <v>-7465.7514949824526</v>
      </c>
      <c r="AK14" s="50">
        <v>-5391.0381856440144</v>
      </c>
      <c r="AL14" s="50">
        <v>-6456.5837600946143</v>
      </c>
      <c r="AM14" s="50">
        <v>-6960.0085901462953</v>
      </c>
      <c r="AN14" s="109">
        <v>-6645.1795504945439</v>
      </c>
      <c r="AO14" s="109">
        <v>-6909.5378338552518</v>
      </c>
      <c r="AP14" s="109">
        <v>-6996.9</v>
      </c>
      <c r="AQ14" s="109">
        <v>-5517.2358723378347</v>
      </c>
    </row>
    <row r="15" spans="1:43" x14ac:dyDescent="0.25">
      <c r="B15" s="49" t="s">
        <v>79</v>
      </c>
      <c r="D15" s="50">
        <v>-246.41183650215046</v>
      </c>
      <c r="E15" s="50">
        <v>-221.50291853896249</v>
      </c>
      <c r="F15" s="50">
        <v>-198.11326764999998</v>
      </c>
      <c r="G15" s="50">
        <v>-213.62136424042635</v>
      </c>
      <c r="H15" s="50">
        <v>-230.45290728853467</v>
      </c>
      <c r="I15" s="50">
        <v>-218.69352541684967</v>
      </c>
      <c r="J15" s="50">
        <v>-248.01333012493998</v>
      </c>
      <c r="K15" s="50">
        <v>-207.39597894689001</v>
      </c>
      <c r="L15" s="50">
        <v>-186.1377541582095</v>
      </c>
      <c r="M15" s="50">
        <v>-169.93964404799883</v>
      </c>
      <c r="N15" s="50">
        <v>-172.90947865482315</v>
      </c>
      <c r="O15" s="50">
        <v>-165.80923709827334</v>
      </c>
      <c r="P15" s="50">
        <v>-177.00222604727281</v>
      </c>
      <c r="Q15" s="50">
        <v>-161.28610992123154</v>
      </c>
      <c r="R15" s="50">
        <v>-177.062223393994</v>
      </c>
      <c r="S15" s="50">
        <v>-184.70649162473831</v>
      </c>
      <c r="T15" s="50">
        <v>-201.34721286668818</v>
      </c>
      <c r="U15" s="50">
        <v>-193.96171051674548</v>
      </c>
      <c r="V15" s="50">
        <v>-196.83304986177995</v>
      </c>
      <c r="W15" s="50">
        <v>-202.29480010886641</v>
      </c>
      <c r="X15" s="50">
        <v>-208.55791900230025</v>
      </c>
      <c r="Y15" s="50">
        <v>-192.15774737091226</v>
      </c>
      <c r="Z15" s="50">
        <v>-205.53318800836286</v>
      </c>
      <c r="AA15" s="50">
        <v>-205.87182764167358</v>
      </c>
      <c r="AB15" s="50">
        <v>-210.81707742182974</v>
      </c>
      <c r="AC15" s="50">
        <v>-198.11581445010029</v>
      </c>
      <c r="AD15" s="50">
        <v>-196.58130981381331</v>
      </c>
      <c r="AE15" s="50">
        <v>-196.66493221172334</v>
      </c>
      <c r="AF15" s="50">
        <v>-209.56017012439759</v>
      </c>
      <c r="AG15" s="50">
        <v>-201.87981177560243</v>
      </c>
      <c r="AI15" s="50">
        <v>-860.8810645958107</v>
      </c>
      <c r="AJ15" s="50">
        <v>-811.48670727803835</v>
      </c>
      <c r="AK15" s="50">
        <v>-677.00705172160087</v>
      </c>
      <c r="AL15" s="50">
        <v>-757.07763840216603</v>
      </c>
      <c r="AM15" s="50">
        <v>-799.84351634385894</v>
      </c>
      <c r="AN15" s="109">
        <v>-820.33790752196637</v>
      </c>
      <c r="AO15" s="109">
        <v>-804.68622392553664</v>
      </c>
      <c r="AP15" s="109">
        <v>-833.43187297819213</v>
      </c>
      <c r="AQ15" s="109">
        <v>-734.07302469589763</v>
      </c>
    </row>
    <row r="16" spans="1:43" x14ac:dyDescent="0.25">
      <c r="B16" s="49" t="s">
        <v>13</v>
      </c>
      <c r="D16" s="51">
        <v>0.32274318500000154</v>
      </c>
      <c r="E16" s="51">
        <v>6.2643434100000013</v>
      </c>
      <c r="F16" s="51">
        <v>8.4704785300000367</v>
      </c>
      <c r="G16" s="51">
        <v>4.8141210618631476</v>
      </c>
      <c r="H16" s="51">
        <v>-5.9290090149647172</v>
      </c>
      <c r="I16" s="51">
        <v>5.5940258281016186</v>
      </c>
      <c r="J16" s="51">
        <v>5.0658229900000444</v>
      </c>
      <c r="K16" s="51">
        <v>-1.9313356042011023</v>
      </c>
      <c r="L16" s="51">
        <v>-12.741237955000004</v>
      </c>
      <c r="M16" s="51">
        <v>-7.4038048849999978</v>
      </c>
      <c r="N16" s="51">
        <v>-11.299936504999998</v>
      </c>
      <c r="O16" s="51">
        <v>2.5755915299999881</v>
      </c>
      <c r="P16" s="51">
        <v>0.14124284500000595</v>
      </c>
      <c r="Q16" s="51">
        <v>-0.96032088499999668</v>
      </c>
      <c r="R16" s="51">
        <v>-0.26276910999997605</v>
      </c>
      <c r="S16" s="51">
        <v>4.0388333549999995</v>
      </c>
      <c r="T16" s="51">
        <v>1.3752941199999982</v>
      </c>
      <c r="U16" s="51">
        <v>4.0001463649999955</v>
      </c>
      <c r="V16" s="51">
        <v>3.2878919784602214</v>
      </c>
      <c r="W16" s="51">
        <v>61.824582011265584</v>
      </c>
      <c r="X16" s="51">
        <v>3.308531090713033</v>
      </c>
      <c r="Y16" s="51">
        <v>2.3036837874445286</v>
      </c>
      <c r="Z16" s="51">
        <v>0.35302887768666114</v>
      </c>
      <c r="AA16" s="51">
        <v>11.224291370216127</v>
      </c>
      <c r="AB16" s="51">
        <v>10.867833265444876</v>
      </c>
      <c r="AC16" s="51">
        <v>0.62520288922941814</v>
      </c>
      <c r="AD16" s="51">
        <v>-19.668401095744354</v>
      </c>
      <c r="AE16" s="51">
        <v>3.2517328415193325</v>
      </c>
      <c r="AF16" s="51">
        <v>0.69957028810387434</v>
      </c>
      <c r="AG16" s="51">
        <v>3.4563211170793884</v>
      </c>
      <c r="AI16" s="51">
        <v>12.949616405000086</v>
      </c>
      <c r="AJ16" s="51">
        <v>-17.010555454201061</v>
      </c>
      <c r="AK16" s="51">
        <v>-9.5434230150000001</v>
      </c>
      <c r="AL16" s="51">
        <v>9.151504730000017</v>
      </c>
      <c r="AM16" s="51">
        <v>70.724688867883373</v>
      </c>
      <c r="AN16" s="110">
        <v>23.070356402577083</v>
      </c>
      <c r="AO16" s="110">
        <v>-12.260776849041759</v>
      </c>
      <c r="AP16" s="110">
        <v>-10.787448581438381</v>
      </c>
      <c r="AQ16" s="110">
        <v>4.6665904982465012</v>
      </c>
    </row>
    <row r="17" spans="2:44" x14ac:dyDescent="0.25">
      <c r="B17" s="49"/>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I17" s="52"/>
      <c r="AJ17" s="52"/>
      <c r="AK17" s="52"/>
      <c r="AL17" s="52"/>
      <c r="AM17" s="52"/>
      <c r="AN17" s="52"/>
      <c r="AO17" s="52"/>
      <c r="AP17" s="52"/>
      <c r="AQ17" s="52"/>
    </row>
    <row r="18" spans="2:44" s="53" customFormat="1" x14ac:dyDescent="0.25">
      <c r="B18" s="54" t="s">
        <v>14</v>
      </c>
      <c r="D18" s="54">
        <f t="shared" ref="D18" si="0">+SUM(D13:D16)</f>
        <v>230.89031133949032</v>
      </c>
      <c r="E18" s="54">
        <f t="shared" ref="E18:F18" si="1">+SUM(E13:E16)</f>
        <v>294.04820641849579</v>
      </c>
      <c r="F18" s="54">
        <f t="shared" si="1"/>
        <v>388.02328795871802</v>
      </c>
      <c r="G18" s="54">
        <f t="shared" ref="G18" si="2">+SUM(G13:G16)</f>
        <v>709.76826086947347</v>
      </c>
      <c r="H18" s="54">
        <f t="shared" ref="H18:I18" si="3">+SUM(H13:H16)</f>
        <v>551.49451873639623</v>
      </c>
      <c r="I18" s="54">
        <f t="shared" si="3"/>
        <v>431.31285639675446</v>
      </c>
      <c r="J18" s="54">
        <f t="shared" ref="J18:M18" si="4">+SUM(J13:J16)</f>
        <v>340.73656135199082</v>
      </c>
      <c r="K18" s="54">
        <f t="shared" si="4"/>
        <v>318.2949406309163</v>
      </c>
      <c r="L18" s="54">
        <f t="shared" si="4"/>
        <v>398.48763235965242</v>
      </c>
      <c r="M18" s="54">
        <f t="shared" si="4"/>
        <v>348.49214343167932</v>
      </c>
      <c r="N18" s="54">
        <f t="shared" ref="N18:U18" si="5">+SUM(N13:N16)</f>
        <v>246.11871797029687</v>
      </c>
      <c r="O18" s="54">
        <f t="shared" si="5"/>
        <v>392.29867291511789</v>
      </c>
      <c r="P18" s="54">
        <f t="shared" si="5"/>
        <v>295.93084199982604</v>
      </c>
      <c r="Q18" s="54">
        <f t="shared" si="5"/>
        <v>209.81473101227536</v>
      </c>
      <c r="R18" s="54">
        <f t="shared" si="5"/>
        <v>198.05653705171093</v>
      </c>
      <c r="S18" s="54">
        <f t="shared" si="5"/>
        <v>143.20154856396465</v>
      </c>
      <c r="T18" s="54">
        <f t="shared" si="5"/>
        <v>114.04638943633437</v>
      </c>
      <c r="U18" s="54">
        <f t="shared" si="5"/>
        <v>215.34704574987975</v>
      </c>
      <c r="V18" s="54">
        <f t="shared" ref="V18:AA18" si="6">+SUM(V13:V16)</f>
        <v>189.53758500537327</v>
      </c>
      <c r="W18" s="54">
        <f t="shared" si="6"/>
        <v>305.31272352647983</v>
      </c>
      <c r="X18" s="54">
        <f t="shared" si="6"/>
        <v>215.02402235817826</v>
      </c>
      <c r="Y18" s="54">
        <f t="shared" si="6"/>
        <v>301.51887526590343</v>
      </c>
      <c r="Z18" s="54">
        <f t="shared" si="6"/>
        <v>257.17628786591786</v>
      </c>
      <c r="AA18" s="54">
        <f t="shared" si="6"/>
        <v>258.5480855338206</v>
      </c>
      <c r="AB18" s="54">
        <f t="shared" ref="AB18:AG18" si="7">+SUM(AB13:AB16)</f>
        <v>247.87288824474734</v>
      </c>
      <c r="AC18" s="54">
        <f t="shared" si="7"/>
        <v>253.89862689961697</v>
      </c>
      <c r="AD18" s="54">
        <f t="shared" si="7"/>
        <v>102.26214145809884</v>
      </c>
      <c r="AE18" s="54">
        <f t="shared" si="7"/>
        <v>236.43539847643544</v>
      </c>
      <c r="AF18" s="54">
        <f t="shared" si="7"/>
        <v>247.16196653449236</v>
      </c>
      <c r="AG18" s="54">
        <f t="shared" si="7"/>
        <v>288.7892730719642</v>
      </c>
      <c r="AI18" s="54">
        <f t="shared" ref="AI18" si="8">+SUM(AI13:AI16)</f>
        <v>2080.5989239613418</v>
      </c>
      <c r="AJ18" s="54">
        <f t="shared" ref="AJ18" si="9">+SUM(AJ13:AJ16)</f>
        <v>1406.011277774237</v>
      </c>
      <c r="AK18" s="54">
        <f t="shared" ref="AK18:AP18" si="10">+SUM(AK13:AK16)</f>
        <v>1144.162963897516</v>
      </c>
      <c r="AL18" s="54">
        <f t="shared" si="10"/>
        <v>670.65152080188966</v>
      </c>
      <c r="AM18" s="54">
        <f t="shared" si="10"/>
        <v>1011.393206155935</v>
      </c>
      <c r="AN18" s="54">
        <f t="shared" si="10"/>
        <v>1017.4958885441038</v>
      </c>
      <c r="AO18" s="54">
        <f t="shared" si="10"/>
        <v>874.64877954098949</v>
      </c>
      <c r="AP18" s="54">
        <f t="shared" si="10"/>
        <v>1217.8300678390299</v>
      </c>
      <c r="AQ18" s="54">
        <v>1019.0265461380329</v>
      </c>
    </row>
    <row r="19" spans="2:44" x14ac:dyDescent="0.25">
      <c r="B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I19" s="56"/>
      <c r="AJ19" s="56"/>
      <c r="AK19" s="56"/>
      <c r="AL19" s="56"/>
      <c r="AM19" s="56"/>
      <c r="AN19" s="56"/>
      <c r="AO19" s="56"/>
      <c r="AP19" s="56"/>
      <c r="AQ19" s="56"/>
    </row>
    <row r="20" spans="2:44" x14ac:dyDescent="0.25">
      <c r="B20" s="49" t="s">
        <v>80</v>
      </c>
      <c r="D20" s="50">
        <v>164.57812430999999</v>
      </c>
      <c r="E20" s="50">
        <v>149.88171470499998</v>
      </c>
      <c r="F20" s="50">
        <v>118.67867419500004</v>
      </c>
      <c r="G20" s="50">
        <v>134.87496851708983</v>
      </c>
      <c r="H20" s="50">
        <v>140.59491850070862</v>
      </c>
      <c r="I20" s="50">
        <v>143.73428435220151</v>
      </c>
      <c r="J20" s="50">
        <v>138.99695381999996</v>
      </c>
      <c r="K20" s="50">
        <v>103.152147775</v>
      </c>
      <c r="L20" s="50">
        <v>93.201819644999986</v>
      </c>
      <c r="M20" s="50">
        <v>89.176291660000004</v>
      </c>
      <c r="N20" s="50">
        <v>91.641913509999995</v>
      </c>
      <c r="O20" s="50">
        <v>92.218462395000003</v>
      </c>
      <c r="P20" s="50">
        <v>88.782753004999989</v>
      </c>
      <c r="Q20" s="50">
        <v>89.042136844999987</v>
      </c>
      <c r="R20" s="50">
        <v>94.246991859999994</v>
      </c>
      <c r="S20" s="50">
        <v>97.345861514999996</v>
      </c>
      <c r="T20" s="50">
        <v>96.093304770000003</v>
      </c>
      <c r="U20" s="50">
        <v>96.693681000000012</v>
      </c>
      <c r="V20" s="50">
        <v>95.69446805633504</v>
      </c>
      <c r="W20" s="50">
        <v>95.905718111234478</v>
      </c>
      <c r="X20" s="50">
        <v>89.53125360331444</v>
      </c>
      <c r="Y20" s="50">
        <v>88.065725691084438</v>
      </c>
      <c r="Z20" s="50">
        <v>83.037414157993382</v>
      </c>
      <c r="AA20" s="50">
        <v>86.53941589116765</v>
      </c>
      <c r="AB20" s="50">
        <v>89.052794932416646</v>
      </c>
      <c r="AC20" s="50">
        <v>85.783352501980758</v>
      </c>
      <c r="AD20" s="50">
        <v>99.906117870000003</v>
      </c>
      <c r="AE20" s="50">
        <v>83.542232999999996</v>
      </c>
      <c r="AF20" s="50">
        <v>86.576203219999996</v>
      </c>
      <c r="AG20" s="50">
        <v>85.221674381496342</v>
      </c>
      <c r="AI20" s="50">
        <v>537.88284556500003</v>
      </c>
      <c r="AJ20" s="50">
        <v>424.52721289999999</v>
      </c>
      <c r="AK20" s="50">
        <v>361.68526575499999</v>
      </c>
      <c r="AL20" s="50">
        <v>384.37983914500001</v>
      </c>
      <c r="AM20" s="50">
        <v>369.19716546196838</v>
      </c>
      <c r="AN20" s="50">
        <v>344.41297748355845</v>
      </c>
      <c r="AO20" s="109">
        <v>355.24622847149635</v>
      </c>
      <c r="AP20" s="109">
        <v>379.35256809999998</v>
      </c>
      <c r="AQ20" s="109">
        <v>355.71987992631034</v>
      </c>
    </row>
    <row r="21" spans="2:44" x14ac:dyDescent="0.25">
      <c r="B21" s="55"/>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I21" s="56"/>
      <c r="AJ21" s="56"/>
      <c r="AK21" s="56"/>
      <c r="AL21" s="56"/>
      <c r="AM21" s="56"/>
      <c r="AN21" s="56"/>
      <c r="AO21" s="56"/>
      <c r="AP21" s="56"/>
      <c r="AQ21" s="56"/>
    </row>
    <row r="22" spans="2:44" s="53" customFormat="1" x14ac:dyDescent="0.25">
      <c r="B22" s="57" t="s">
        <v>81</v>
      </c>
      <c r="D22" s="57">
        <f t="shared" ref="D22" si="11">+D18+D20</f>
        <v>395.46843564949029</v>
      </c>
      <c r="E22" s="57">
        <f t="shared" ref="E22:F22" si="12">+E18+E20</f>
        <v>443.92992112349577</v>
      </c>
      <c r="F22" s="57">
        <f t="shared" si="12"/>
        <v>506.70196215371806</v>
      </c>
      <c r="G22" s="57">
        <f t="shared" ref="G22" si="13">+G18+G20</f>
        <v>844.64322938656323</v>
      </c>
      <c r="H22" s="57">
        <f t="shared" ref="H22:I22" si="14">+H18+H20</f>
        <v>692.0894372371049</v>
      </c>
      <c r="I22" s="57">
        <f t="shared" si="14"/>
        <v>575.04714074895594</v>
      </c>
      <c r="J22" s="57">
        <f t="shared" ref="J22:M22" si="15">+J18+J20</f>
        <v>479.7335151719908</v>
      </c>
      <c r="K22" s="57">
        <f t="shared" si="15"/>
        <v>421.4470884059163</v>
      </c>
      <c r="L22" s="57">
        <f t="shared" si="15"/>
        <v>491.68945200465242</v>
      </c>
      <c r="M22" s="57">
        <f t="shared" si="15"/>
        <v>437.66843509167933</v>
      </c>
      <c r="N22" s="57">
        <f t="shared" ref="N22:U22" si="16">+N18+N20</f>
        <v>337.76063148029687</v>
      </c>
      <c r="O22" s="57">
        <f t="shared" si="16"/>
        <v>484.51713531011791</v>
      </c>
      <c r="P22" s="57">
        <f t="shared" si="16"/>
        <v>384.71359500482606</v>
      </c>
      <c r="Q22" s="57">
        <f t="shared" si="16"/>
        <v>298.85686785727535</v>
      </c>
      <c r="R22" s="57">
        <f t="shared" si="16"/>
        <v>292.30352891171094</v>
      </c>
      <c r="S22" s="57">
        <f t="shared" si="16"/>
        <v>240.54741007896465</v>
      </c>
      <c r="T22" s="57">
        <f t="shared" si="16"/>
        <v>210.13969420633435</v>
      </c>
      <c r="U22" s="57">
        <f t="shared" si="16"/>
        <v>312.04072674987975</v>
      </c>
      <c r="V22" s="57">
        <f t="shared" ref="V22:AA22" si="17">+V18+V20</f>
        <v>285.23205306170831</v>
      </c>
      <c r="W22" s="57">
        <f t="shared" si="17"/>
        <v>401.21844163771431</v>
      </c>
      <c r="X22" s="57">
        <f t="shared" si="17"/>
        <v>304.55527596149273</v>
      </c>
      <c r="Y22" s="57">
        <f t="shared" si="17"/>
        <v>389.58460095698786</v>
      </c>
      <c r="Z22" s="57">
        <f t="shared" si="17"/>
        <v>340.21370202391125</v>
      </c>
      <c r="AA22" s="57">
        <f t="shared" si="17"/>
        <v>345.08750142498826</v>
      </c>
      <c r="AB22" s="57">
        <f>+AB18+AB20</f>
        <v>336.92568317716399</v>
      </c>
      <c r="AC22" s="57">
        <f>+AC18+AC20</f>
        <v>339.68197940159774</v>
      </c>
      <c r="AD22" s="57">
        <f>+AD18+AD20</f>
        <v>202.16825932809883</v>
      </c>
      <c r="AE22" s="57">
        <f>+AE18+AE20</f>
        <v>319.97763147643542</v>
      </c>
      <c r="AF22" s="57">
        <f>+AF18+AF20</f>
        <v>333.73816975449233</v>
      </c>
      <c r="AG22" s="57">
        <f>+AG18+AG20+0.04</f>
        <v>374.05094745346054</v>
      </c>
      <c r="AI22" s="57">
        <f t="shared" ref="AI22" si="18">+AI18+AI20</f>
        <v>2618.4817695263418</v>
      </c>
      <c r="AJ22" s="57">
        <f t="shared" ref="AJ22:AO22" si="19">+AJ18+AJ20</f>
        <v>1830.538490674237</v>
      </c>
      <c r="AK22" s="57">
        <f t="shared" si="19"/>
        <v>1505.848229652516</v>
      </c>
      <c r="AL22" s="57">
        <f t="shared" si="19"/>
        <v>1055.0313599468896</v>
      </c>
      <c r="AM22" s="57">
        <f t="shared" si="19"/>
        <v>1380.5903716179034</v>
      </c>
      <c r="AN22" s="57">
        <f t="shared" si="19"/>
        <v>1361.9088660276623</v>
      </c>
      <c r="AO22" s="57">
        <f t="shared" si="19"/>
        <v>1229.895008012486</v>
      </c>
      <c r="AP22" s="57">
        <v>1593.4215371508262</v>
      </c>
      <c r="AQ22" s="57">
        <v>1374.7464260643433</v>
      </c>
    </row>
    <row r="23" spans="2:44" x14ac:dyDescent="0.25">
      <c r="D23" s="56"/>
      <c r="E23" s="56"/>
      <c r="F23" s="56"/>
      <c r="G23" s="56"/>
      <c r="H23" s="56"/>
      <c r="I23" s="56"/>
      <c r="J23" s="56"/>
      <c r="K23" s="56"/>
      <c r="L23" s="56"/>
      <c r="M23" s="100"/>
      <c r="N23" s="56"/>
      <c r="O23" s="56"/>
      <c r="P23" s="56"/>
      <c r="Q23" s="100"/>
      <c r="R23" s="56"/>
      <c r="S23" s="56"/>
      <c r="T23" s="56"/>
      <c r="U23" s="100"/>
      <c r="V23" s="56"/>
      <c r="W23" s="56"/>
      <c r="X23" s="56"/>
      <c r="Y23" s="100"/>
      <c r="Z23" s="56"/>
      <c r="AA23" s="56"/>
      <c r="AB23" s="56"/>
      <c r="AC23" s="100"/>
    </row>
    <row r="24" spans="2:44" x14ac:dyDescent="0.25">
      <c r="D24" s="56"/>
      <c r="E24" s="56"/>
      <c r="F24" s="56"/>
      <c r="G24" s="56"/>
      <c r="H24" s="56"/>
      <c r="I24" s="56"/>
      <c r="J24" s="56"/>
      <c r="K24" s="56"/>
      <c r="L24" s="56"/>
      <c r="M24" s="56"/>
      <c r="N24" s="56"/>
      <c r="O24" s="56"/>
      <c r="P24" s="56"/>
      <c r="Q24" s="56"/>
      <c r="R24" s="56"/>
      <c r="S24" s="56"/>
      <c r="T24" s="56"/>
      <c r="U24" s="56"/>
      <c r="V24" s="56"/>
      <c r="W24" s="56"/>
      <c r="X24" s="56"/>
      <c r="Y24" s="56"/>
      <c r="Z24" s="56"/>
      <c r="AA24" s="98"/>
      <c r="AB24" s="98"/>
      <c r="AC24" s="98"/>
      <c r="AD24" s="99"/>
    </row>
    <row r="25" spans="2:44" x14ac:dyDescent="0.25">
      <c r="B25" s="58" t="s">
        <v>82</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row>
    <row r="26" spans="2:44" x14ac:dyDescent="0.25">
      <c r="B26" s="46" t="s">
        <v>72</v>
      </c>
      <c r="D26" s="46" t="str">
        <f t="shared" ref="D26:F26" si="20">+D9</f>
        <v>2Q2019</v>
      </c>
      <c r="E26" s="46" t="str">
        <f t="shared" si="20"/>
        <v>1Q2019(°)</v>
      </c>
      <c r="F26" s="46" t="str">
        <f t="shared" si="20"/>
        <v>4Q2018</v>
      </c>
      <c r="G26" s="46" t="str">
        <f t="shared" ref="G26" si="21">+G9</f>
        <v>3Q2018(°°)</v>
      </c>
      <c r="H26" s="46" t="str">
        <f t="shared" ref="H26:I26" si="22">+H9</f>
        <v>2Q 2018(°°)</v>
      </c>
      <c r="I26" s="46" t="str">
        <f t="shared" si="22"/>
        <v>1Q 2018(°°)</v>
      </c>
      <c r="J26" s="46" t="str">
        <f t="shared" ref="J26:K26" si="23">+J9</f>
        <v>4Q 2017</v>
      </c>
      <c r="K26" s="46" t="str">
        <f t="shared" si="23"/>
        <v>3Q 2017</v>
      </c>
      <c r="L26" s="46" t="str">
        <f>+L9</f>
        <v>2Q 2017</v>
      </c>
      <c r="M26" s="46" t="s">
        <v>123</v>
      </c>
      <c r="N26" s="46" t="str">
        <f t="shared" ref="N26:O26" si="24">+N9</f>
        <v>4Q 2016</v>
      </c>
      <c r="O26" s="46" t="str">
        <f t="shared" si="24"/>
        <v>3Q 2016</v>
      </c>
      <c r="P26" s="46" t="str">
        <f>+P9</f>
        <v>2Q 2016</v>
      </c>
      <c r="Q26" s="46" t="s">
        <v>123</v>
      </c>
      <c r="R26" s="46" t="str">
        <f t="shared" ref="R26:S26" si="25">+R9</f>
        <v>4Q 2015</v>
      </c>
      <c r="S26" s="46" t="str">
        <f t="shared" si="25"/>
        <v>3Q 2015</v>
      </c>
      <c r="T26" s="46" t="str">
        <f>+T9</f>
        <v>2Q 2015</v>
      </c>
      <c r="U26" s="46" t="s">
        <v>123</v>
      </c>
      <c r="V26" s="46" t="s">
        <v>103</v>
      </c>
      <c r="W26" s="46" t="s">
        <v>104</v>
      </c>
      <c r="X26" s="46" t="s">
        <v>105</v>
      </c>
      <c r="Y26" s="46" t="s">
        <v>102</v>
      </c>
      <c r="Z26" s="46" t="s">
        <v>99</v>
      </c>
      <c r="AA26" s="46" t="s">
        <v>4</v>
      </c>
      <c r="AB26" s="46" t="s">
        <v>5</v>
      </c>
      <c r="AC26" s="46" t="s">
        <v>6</v>
      </c>
      <c r="AD26" s="46" t="s">
        <v>73</v>
      </c>
      <c r="AE26" s="46" t="s">
        <v>74</v>
      </c>
      <c r="AF26" s="46" t="s">
        <v>75</v>
      </c>
      <c r="AG26" s="46" t="s">
        <v>76</v>
      </c>
      <c r="AH26" s="59"/>
      <c r="AI26" s="46">
        <f>+AI9</f>
        <v>2018</v>
      </c>
      <c r="AJ26" s="46">
        <f>+AJ9</f>
        <v>2017</v>
      </c>
      <c r="AK26" s="46">
        <f>+AK9</f>
        <v>2016</v>
      </c>
      <c r="AL26" s="46">
        <v>2015</v>
      </c>
      <c r="AM26" s="46">
        <v>2014</v>
      </c>
      <c r="AN26" s="46">
        <v>2013</v>
      </c>
      <c r="AO26" s="46">
        <v>2012</v>
      </c>
      <c r="AP26" s="46">
        <v>2011</v>
      </c>
      <c r="AQ26" s="46">
        <v>2010</v>
      </c>
      <c r="AR26" s="60"/>
    </row>
    <row r="27" spans="2:44" x14ac:dyDescent="0.25">
      <c r="B27" s="48"/>
      <c r="D27" s="45"/>
      <c r="E27" s="45"/>
      <c r="F27" s="45"/>
      <c r="G27" s="45"/>
      <c r="H27" s="45"/>
      <c r="I27" s="45"/>
      <c r="J27" s="45"/>
      <c r="K27" s="45"/>
      <c r="L27" s="45"/>
      <c r="M27" s="45"/>
      <c r="N27" s="45"/>
      <c r="O27" s="45"/>
      <c r="P27" s="45"/>
      <c r="Q27" s="45"/>
      <c r="R27" s="45"/>
      <c r="S27" s="45"/>
      <c r="T27" s="45"/>
      <c r="U27" s="45"/>
      <c r="V27" s="45"/>
      <c r="W27" s="45"/>
      <c r="X27" s="45"/>
      <c r="Y27" s="45"/>
      <c r="Z27" s="45"/>
      <c r="AA27" s="45"/>
      <c r="AB27" s="101"/>
      <c r="AC27" s="45"/>
      <c r="AD27" s="45"/>
      <c r="AE27" s="45"/>
      <c r="AF27" s="45"/>
      <c r="AG27" s="45"/>
      <c r="AH27" s="59"/>
      <c r="AI27" s="45"/>
      <c r="AJ27" s="45"/>
      <c r="AK27" s="45"/>
      <c r="AL27" s="45"/>
      <c r="AM27" s="45"/>
      <c r="AN27" s="45"/>
      <c r="AO27" s="45"/>
      <c r="AP27" s="45"/>
      <c r="AQ27" s="45"/>
      <c r="AR27" s="59"/>
    </row>
    <row r="28" spans="2:44" x14ac:dyDescent="0.25">
      <c r="B28" s="49" t="s">
        <v>77</v>
      </c>
      <c r="D28" s="50">
        <v>835.10420000000011</v>
      </c>
      <c r="E28" s="50">
        <v>919.88425999999993</v>
      </c>
      <c r="F28" s="50">
        <v>856.935653</v>
      </c>
      <c r="G28" s="50">
        <v>914.47944800000005</v>
      </c>
      <c r="H28" s="50">
        <v>915.56682599999988</v>
      </c>
      <c r="I28" s="50">
        <v>929.28598899999997</v>
      </c>
      <c r="J28" s="50">
        <v>874.84336300000007</v>
      </c>
      <c r="K28" s="50">
        <v>938.32546200000002</v>
      </c>
      <c r="L28" s="50">
        <v>874.50741500000004</v>
      </c>
      <c r="M28" s="50">
        <v>863.43313799999987</v>
      </c>
      <c r="N28" s="50">
        <v>855.49578199999996</v>
      </c>
      <c r="O28" s="50">
        <v>808.33704199999988</v>
      </c>
      <c r="P28" s="50">
        <v>811.36075800000015</v>
      </c>
      <c r="Q28" s="50">
        <v>834.40240200000005</v>
      </c>
      <c r="R28" s="50">
        <v>906.12290299999984</v>
      </c>
      <c r="S28" s="50">
        <v>891.54297399999984</v>
      </c>
      <c r="T28" s="50">
        <v>873.38667899999984</v>
      </c>
      <c r="U28" s="50">
        <v>964.55950199999995</v>
      </c>
      <c r="V28" s="50">
        <v>1021.9187589999999</v>
      </c>
      <c r="W28" s="50">
        <v>1006.577536</v>
      </c>
      <c r="X28" s="50">
        <v>944.37648000000002</v>
      </c>
      <c r="Y28" s="50">
        <v>884.39236000000017</v>
      </c>
      <c r="Z28" s="50">
        <v>994.09475699999996</v>
      </c>
      <c r="AA28" s="50">
        <v>929.95139999999992</v>
      </c>
      <c r="AB28" s="50">
        <v>1217.6092510000001</v>
      </c>
      <c r="AC28" s="50">
        <v>1101.29981</v>
      </c>
      <c r="AD28" s="50">
        <v>496.84139300000004</v>
      </c>
      <c r="AE28" s="50">
        <v>451.21174999999999</v>
      </c>
      <c r="AF28" s="50">
        <v>461.93878000000001</v>
      </c>
      <c r="AG28" s="50">
        <v>452.64994999999993</v>
      </c>
      <c r="AH28" s="50"/>
      <c r="AI28" s="50">
        <v>3616.2679159999998</v>
      </c>
      <c r="AJ28" s="50">
        <v>3551.1093780000001</v>
      </c>
      <c r="AK28" s="50">
        <v>3309.595984</v>
      </c>
      <c r="AL28" s="50">
        <v>3635.6120579999997</v>
      </c>
      <c r="AM28" s="50">
        <v>3857.2651350000006</v>
      </c>
      <c r="AN28" s="109">
        <v>4242.9552180000001</v>
      </c>
      <c r="AO28" s="109">
        <v>1862.641873</v>
      </c>
      <c r="AP28" s="109">
        <v>2050.4576000000002</v>
      </c>
      <c r="AQ28" s="109">
        <v>2250.3624999999997</v>
      </c>
      <c r="AR28" s="50"/>
    </row>
    <row r="29" spans="2:44" x14ac:dyDescent="0.25">
      <c r="B29" s="49"/>
      <c r="D29" s="50"/>
      <c r="E29" s="50"/>
      <c r="F29" s="50"/>
      <c r="G29" s="50"/>
      <c r="H29" s="50"/>
      <c r="I29" s="50"/>
      <c r="J29" s="50"/>
      <c r="K29" s="50"/>
      <c r="L29" s="50"/>
      <c r="M29" s="50"/>
      <c r="N29" s="50">
        <f>0</f>
        <v>0</v>
      </c>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109"/>
      <c r="AO29" s="109"/>
      <c r="AP29" s="109"/>
      <c r="AQ29" s="109"/>
      <c r="AR29" s="50"/>
    </row>
    <row r="30" spans="2:44" x14ac:dyDescent="0.25">
      <c r="B30" s="49" t="s">
        <v>78</v>
      </c>
      <c r="D30" s="50">
        <v>76.800060209999998</v>
      </c>
      <c r="E30" s="50">
        <v>75.782883719999987</v>
      </c>
      <c r="F30" s="50">
        <v>71.885606209999992</v>
      </c>
      <c r="G30" s="50">
        <v>66.645122439999994</v>
      </c>
      <c r="H30" s="50">
        <v>73.731558509999999</v>
      </c>
      <c r="I30" s="50">
        <v>69.737474639999988</v>
      </c>
      <c r="J30" s="50">
        <v>69.043521359999986</v>
      </c>
      <c r="K30" s="50">
        <v>84.267559459999987</v>
      </c>
      <c r="L30" s="50">
        <v>55.554618630000007</v>
      </c>
      <c r="M30" s="50">
        <v>62.610821509999994</v>
      </c>
      <c r="N30" s="50">
        <v>54.59271022999998</v>
      </c>
      <c r="O30" s="50">
        <v>58.051169616206906</v>
      </c>
      <c r="P30" s="50">
        <v>48.408599138</v>
      </c>
      <c r="Q30" s="50">
        <v>43.841138599999994</v>
      </c>
      <c r="R30" s="50">
        <v>45.410596110000007</v>
      </c>
      <c r="S30" s="50">
        <v>51.056909659999995</v>
      </c>
      <c r="T30" s="50">
        <v>49.652238519999997</v>
      </c>
      <c r="U30" s="50">
        <v>56.985381740000008</v>
      </c>
      <c r="V30" s="50">
        <v>71.382426590000009</v>
      </c>
      <c r="W30" s="50">
        <v>82.208255630000011</v>
      </c>
      <c r="X30" s="50">
        <v>83.336969689999989</v>
      </c>
      <c r="Y30" s="50">
        <v>76.229546560000003</v>
      </c>
      <c r="Z30" s="50">
        <v>110.12207086000001</v>
      </c>
      <c r="AA30" s="50">
        <v>74.742405500000004</v>
      </c>
      <c r="AB30" s="50">
        <v>101.84529168049409</v>
      </c>
      <c r="AC30" s="50">
        <v>99.75624924748746</v>
      </c>
      <c r="AD30" s="50">
        <v>47.059143611463412</v>
      </c>
      <c r="AE30" s="50">
        <v>53.790945799999996</v>
      </c>
      <c r="AF30" s="50">
        <v>44.353394909999999</v>
      </c>
      <c r="AG30" s="50">
        <v>45.494910450000006</v>
      </c>
      <c r="AH30" s="50"/>
      <c r="AI30" s="50">
        <v>281.99976179999999</v>
      </c>
      <c r="AJ30" s="50">
        <v>271.47652095999996</v>
      </c>
      <c r="AK30" s="50">
        <v>204.89361758420688</v>
      </c>
      <c r="AL30" s="50">
        <v>203.10512603000001</v>
      </c>
      <c r="AM30" s="50">
        <v>313.15719847000003</v>
      </c>
      <c r="AN30" s="109">
        <v>386.46601728798157</v>
      </c>
      <c r="AO30" s="109">
        <v>190.69839477146343</v>
      </c>
      <c r="AP30" s="109">
        <v>213.23079497307066</v>
      </c>
      <c r="AQ30" s="109">
        <v>201.92129062402441</v>
      </c>
      <c r="AR30" s="50"/>
    </row>
    <row r="31" spans="2:44" x14ac:dyDescent="0.25">
      <c r="B31" s="49" t="s">
        <v>10</v>
      </c>
      <c r="D31" s="50">
        <v>-62.990463365151783</v>
      </c>
      <c r="E31" s="50">
        <v>-61.633153673360979</v>
      </c>
      <c r="F31" s="50">
        <v>-69.926135700416523</v>
      </c>
      <c r="G31" s="50">
        <v>-62.221698773629967</v>
      </c>
      <c r="H31" s="50">
        <v>-55.307705248619001</v>
      </c>
      <c r="I31" s="50">
        <v>-52.437565251527275</v>
      </c>
      <c r="J31" s="50">
        <v>-55.934929540836748</v>
      </c>
      <c r="K31" s="50">
        <v>-54.599237959375955</v>
      </c>
      <c r="L31" s="50">
        <v>-53.706796151702818</v>
      </c>
      <c r="M31" s="50">
        <v>-48.618539148504297</v>
      </c>
      <c r="N31" s="50">
        <v>-51.54956773007941</v>
      </c>
      <c r="O31" s="50">
        <v>-44.721439012608862</v>
      </c>
      <c r="P31" s="50">
        <v>-47.758648573770635</v>
      </c>
      <c r="Q31" s="50">
        <v>-48.008077300009269</v>
      </c>
      <c r="R31" s="50">
        <v>-46.042603482807941</v>
      </c>
      <c r="S31" s="50">
        <v>-51.808355531619803</v>
      </c>
      <c r="T31" s="50">
        <v>-58.842770578099639</v>
      </c>
      <c r="U31" s="50">
        <v>-57.957386446630615</v>
      </c>
      <c r="V31" s="50">
        <v>-67.773717044010979</v>
      </c>
      <c r="W31" s="50">
        <v>-69.556151816719179</v>
      </c>
      <c r="X31" s="50">
        <v>-62.810240669708506</v>
      </c>
      <c r="Y31" s="50">
        <v>-55.075783609055179</v>
      </c>
      <c r="Z31" s="50">
        <v>-66.38928423727782</v>
      </c>
      <c r="AA31" s="50">
        <v>-59.575307575285024</v>
      </c>
      <c r="AB31" s="50">
        <v>-76.347463677989168</v>
      </c>
      <c r="AC31" s="50">
        <v>-65.995412102722611</v>
      </c>
      <c r="AD31" s="50">
        <v>-25.079705499999999</v>
      </c>
      <c r="AE31" s="50">
        <v>-29.47110885</v>
      </c>
      <c r="AF31" s="50">
        <v>-34.804041420000004</v>
      </c>
      <c r="AG31" s="50">
        <v>-43.410997180000003</v>
      </c>
      <c r="AH31" s="50"/>
      <c r="AI31" s="50">
        <v>-239.89310497419277</v>
      </c>
      <c r="AJ31" s="50">
        <v>-212.85950280041982</v>
      </c>
      <c r="AK31" s="50">
        <v>-192.03773261646819</v>
      </c>
      <c r="AL31" s="50">
        <v>-214.65111603915801</v>
      </c>
      <c r="AM31" s="50">
        <v>-255.21589313949386</v>
      </c>
      <c r="AN31" s="109">
        <v>-268.30746759327462</v>
      </c>
      <c r="AO31" s="109">
        <v>-132.76585295000001</v>
      </c>
      <c r="AP31" s="109">
        <v>-164.34020142331332</v>
      </c>
      <c r="AQ31" s="109">
        <v>-170.654553069359</v>
      </c>
      <c r="AR31" s="50"/>
    </row>
    <row r="32" spans="2:44" x14ac:dyDescent="0.25">
      <c r="B32" s="49" t="s">
        <v>79</v>
      </c>
      <c r="D32" s="50">
        <v>-4.0305423688870006</v>
      </c>
      <c r="E32" s="50">
        <v>-3.66131355</v>
      </c>
      <c r="F32" s="50">
        <v>-3.9115894299999994</v>
      </c>
      <c r="G32" s="50">
        <v>-3.2960204278093013</v>
      </c>
      <c r="H32" s="50">
        <v>-3.5391396099999994</v>
      </c>
      <c r="I32" s="50">
        <v>-5.1358354363800025</v>
      </c>
      <c r="J32" s="50">
        <v>-3.6615832550600005</v>
      </c>
      <c r="K32" s="50">
        <v>-3.8534037131099983</v>
      </c>
      <c r="L32" s="50">
        <v>-2.9096558117905285</v>
      </c>
      <c r="M32" s="50">
        <v>-2.3358550520011767</v>
      </c>
      <c r="N32" s="50">
        <v>-2.554522645176843</v>
      </c>
      <c r="O32" s="50">
        <v>-2.6335832317266652</v>
      </c>
      <c r="P32" s="50">
        <v>-3.0178859927271819</v>
      </c>
      <c r="Q32" s="50">
        <v>-2.7294422587684801</v>
      </c>
      <c r="R32" s="50">
        <v>-3.0211283960060027</v>
      </c>
      <c r="S32" s="50">
        <v>-3.3368584352616719</v>
      </c>
      <c r="T32" s="50">
        <v>-3.4513673833118612</v>
      </c>
      <c r="U32" s="50">
        <v>-3.4046810632545585</v>
      </c>
      <c r="V32" s="50">
        <v>-4.8893774845301179</v>
      </c>
      <c r="W32" s="50">
        <v>-3.8846709667108899</v>
      </c>
      <c r="X32" s="50">
        <v>-4.4185084939092221</v>
      </c>
      <c r="Y32" s="50">
        <v>-3.4420840429211745</v>
      </c>
      <c r="Z32" s="50">
        <v>-4.908583650950165</v>
      </c>
      <c r="AA32" s="50">
        <v>-4.0473013498503683</v>
      </c>
      <c r="AB32" s="50">
        <v>-4.9667900947632706</v>
      </c>
      <c r="AC32" s="50">
        <v>-9.0500882294027623</v>
      </c>
      <c r="AD32" s="50">
        <v>-0.39138814000000005</v>
      </c>
      <c r="AE32" s="50">
        <v>-0.97303523999999997</v>
      </c>
      <c r="AF32" s="50">
        <v>-1.8220269</v>
      </c>
      <c r="AG32" s="50">
        <v>-1.3084590300000001</v>
      </c>
      <c r="AH32" s="50"/>
      <c r="AI32" s="50">
        <v>-15.882584904189303</v>
      </c>
      <c r="AJ32" s="50">
        <v>-12.760497831961704</v>
      </c>
      <c r="AK32" s="50">
        <v>-10.935434128399169</v>
      </c>
      <c r="AL32" s="50">
        <v>-13.214035277834094</v>
      </c>
      <c r="AM32" s="50">
        <v>-16.634640988071403</v>
      </c>
      <c r="AN32" s="109">
        <v>-22.972763324966564</v>
      </c>
      <c r="AO32" s="109">
        <v>-4.4949093099999997</v>
      </c>
      <c r="AP32" s="109">
        <v>-5.9305144616290164</v>
      </c>
      <c r="AQ32" s="109">
        <v>-4.2307035702337163</v>
      </c>
      <c r="AR32" s="50"/>
    </row>
    <row r="33" spans="2:44" x14ac:dyDescent="0.25">
      <c r="B33" s="49" t="s">
        <v>13</v>
      </c>
      <c r="D33" s="51">
        <v>2.9722414999999947E-2</v>
      </c>
      <c r="E33" s="51">
        <v>-0.72938816000000006</v>
      </c>
      <c r="F33" s="51">
        <v>-2.2900799999999721E-3</v>
      </c>
      <c r="G33" s="51">
        <v>9.511221000000003E-2</v>
      </c>
      <c r="H33" s="51">
        <v>0.43026231499999995</v>
      </c>
      <c r="I33" s="51">
        <v>0.18334067999999998</v>
      </c>
      <c r="J33" s="51">
        <v>-1.4252399999999943E-3</v>
      </c>
      <c r="K33" s="51">
        <v>0.45583861999999986</v>
      </c>
      <c r="L33" s="51">
        <v>0.13187082500000002</v>
      </c>
      <c r="M33" s="51">
        <v>0.18386793499999998</v>
      </c>
      <c r="N33" s="51">
        <v>0.45923382499999998</v>
      </c>
      <c r="O33" s="51">
        <v>0.24061520000000014</v>
      </c>
      <c r="P33" s="51">
        <v>0.27888893499999989</v>
      </c>
      <c r="Q33" s="51">
        <v>-1.360357365</v>
      </c>
      <c r="R33" s="51">
        <v>0.39717114999999981</v>
      </c>
      <c r="S33" s="51">
        <v>-7.4208949999999274E-3</v>
      </c>
      <c r="T33" s="51">
        <v>0.17257869999999986</v>
      </c>
      <c r="U33" s="51">
        <v>-0.25970083500000002</v>
      </c>
      <c r="V33" s="51">
        <v>0.19368862500000006</v>
      </c>
      <c r="W33" s="51">
        <v>0.27853480499999994</v>
      </c>
      <c r="X33" s="51">
        <v>0.28704591999999995</v>
      </c>
      <c r="Y33" s="51">
        <v>0.26721801499999998</v>
      </c>
      <c r="Z33" s="51">
        <v>-0.16067180103266462</v>
      </c>
      <c r="AA33" s="51">
        <v>0.12055001549644848</v>
      </c>
      <c r="AB33" s="51">
        <v>0.27102496958544287</v>
      </c>
      <c r="AC33" s="51">
        <v>-0.28732320877150763</v>
      </c>
      <c r="AD33" s="51">
        <v>5.1646699999999997E-3</v>
      </c>
      <c r="AE33" s="51">
        <v>0.34720358000000001</v>
      </c>
      <c r="AF33" s="51">
        <v>0.12583569</v>
      </c>
      <c r="AG33" s="51">
        <v>-9.7977160000000008E-2</v>
      </c>
      <c r="AH33" s="50"/>
      <c r="AI33" s="51">
        <v>0.70642512499999999</v>
      </c>
      <c r="AJ33" s="51">
        <v>0.77015213999999987</v>
      </c>
      <c r="AK33" s="51">
        <v>-0.38161940500000002</v>
      </c>
      <c r="AL33" s="51">
        <v>0.30262811999999972</v>
      </c>
      <c r="AM33" s="51">
        <v>1.0264873649999999</v>
      </c>
      <c r="AN33" s="110">
        <v>-5.6420024722280915E-2</v>
      </c>
      <c r="AO33" s="110">
        <v>0.38022677999999999</v>
      </c>
      <c r="AP33" s="110">
        <v>-0.70715206091004501</v>
      </c>
      <c r="AQ33" s="110">
        <v>-2.5043723086462069</v>
      </c>
      <c r="AR33" s="50"/>
    </row>
    <row r="34" spans="2:44" x14ac:dyDescent="0.25">
      <c r="B34" s="49"/>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0"/>
      <c r="AI34" s="52"/>
      <c r="AJ34" s="52"/>
      <c r="AK34" s="52"/>
      <c r="AL34" s="52"/>
      <c r="AM34" s="52"/>
      <c r="AN34" s="52"/>
      <c r="AO34" s="52"/>
      <c r="AP34" s="52"/>
      <c r="AQ34" s="52"/>
      <c r="AR34" s="50"/>
    </row>
    <row r="35" spans="2:44" s="53" customFormat="1" x14ac:dyDescent="0.25">
      <c r="B35" s="54" t="s">
        <v>14</v>
      </c>
      <c r="D35" s="54">
        <f t="shared" ref="D35" si="26">+SUM(D30:D33)</f>
        <v>9.8087768909612141</v>
      </c>
      <c r="E35" s="54">
        <f t="shared" ref="E35:F35" si="27">+SUM(E30:E33)</f>
        <v>9.7590283366390089</v>
      </c>
      <c r="F35" s="54">
        <f t="shared" si="27"/>
        <v>-1.9544090004165309</v>
      </c>
      <c r="G35" s="54">
        <f t="shared" ref="G35" si="28">+SUM(G30:G33)</f>
        <v>1.2225154485607259</v>
      </c>
      <c r="H35" s="54">
        <f t="shared" ref="H35:I35" si="29">+SUM(H30:H33)</f>
        <v>15.314975966380999</v>
      </c>
      <c r="I35" s="54">
        <f t="shared" si="29"/>
        <v>12.347414632092711</v>
      </c>
      <c r="J35" s="54">
        <f t="shared" ref="J35:M35" si="30">+SUM(J30:J33)</f>
        <v>9.4455833241032376</v>
      </c>
      <c r="K35" s="54">
        <f t="shared" si="30"/>
        <v>26.270756407514035</v>
      </c>
      <c r="L35" s="54">
        <f t="shared" si="30"/>
        <v>-0.92996250849333917</v>
      </c>
      <c r="M35" s="54">
        <f t="shared" si="30"/>
        <v>11.84029524449452</v>
      </c>
      <c r="N35" s="54">
        <f t="shared" ref="N35:U35" si="31">+SUM(N30:N33)</f>
        <v>0.94785367974372725</v>
      </c>
      <c r="O35" s="54">
        <f t="shared" si="31"/>
        <v>10.93676257187138</v>
      </c>
      <c r="P35" s="54">
        <f t="shared" si="31"/>
        <v>-2.0890464934978179</v>
      </c>
      <c r="Q35" s="54">
        <f t="shared" si="31"/>
        <v>-8.2567383237777552</v>
      </c>
      <c r="R35" s="54">
        <f t="shared" si="31"/>
        <v>-3.2559646188139366</v>
      </c>
      <c r="S35" s="54">
        <f t="shared" si="31"/>
        <v>-4.0957252018814794</v>
      </c>
      <c r="T35" s="54">
        <f t="shared" si="31"/>
        <v>-12.469320741411504</v>
      </c>
      <c r="U35" s="54">
        <f t="shared" si="31"/>
        <v>-4.6363866048851659</v>
      </c>
      <c r="V35" s="54">
        <f t="shared" ref="V35:AC35" si="32">+SUM(V30:V33)</f>
        <v>-1.0869793135410886</v>
      </c>
      <c r="W35" s="54">
        <f t="shared" si="32"/>
        <v>9.0459676515699421</v>
      </c>
      <c r="X35" s="54">
        <f t="shared" si="32"/>
        <v>16.395266446382262</v>
      </c>
      <c r="Y35" s="54">
        <f t="shared" si="32"/>
        <v>17.978896923023651</v>
      </c>
      <c r="Z35" s="54">
        <f t="shared" si="32"/>
        <v>38.663531170739361</v>
      </c>
      <c r="AA35" s="54">
        <f t="shared" si="32"/>
        <v>11.24034659036106</v>
      </c>
      <c r="AB35" s="54">
        <f t="shared" si="32"/>
        <v>20.802062877327092</v>
      </c>
      <c r="AC35" s="54">
        <f t="shared" si="32"/>
        <v>24.423425706590582</v>
      </c>
      <c r="AD35" s="54">
        <f>+SUM(AD30:AD33)</f>
        <v>21.593214641463412</v>
      </c>
      <c r="AE35" s="54">
        <f>+SUM(AE30:AE33)</f>
        <v>23.694005289999993</v>
      </c>
      <c r="AF35" s="54">
        <f>+SUM(AF30:AF33)</f>
        <v>7.8531622799999941</v>
      </c>
      <c r="AG35" s="54">
        <f>+SUM(AG30:AG33)</f>
        <v>0.67747708000000351</v>
      </c>
      <c r="AH35" s="50"/>
      <c r="AI35" s="54">
        <f t="shared" ref="AI35" si="33">+SUM(AI30:AI33)</f>
        <v>26.930497046617919</v>
      </c>
      <c r="AJ35" s="54">
        <f t="shared" ref="AJ35:AO35" si="34">+SUM(AJ30:AJ33)</f>
        <v>46.626672467618441</v>
      </c>
      <c r="AK35" s="54">
        <f t="shared" si="34"/>
        <v>1.5388314343395195</v>
      </c>
      <c r="AL35" s="54">
        <f t="shared" si="34"/>
        <v>-24.457397166992095</v>
      </c>
      <c r="AM35" s="54">
        <f t="shared" si="34"/>
        <v>42.333151707434766</v>
      </c>
      <c r="AN35" s="54">
        <f t="shared" si="34"/>
        <v>95.129366345018099</v>
      </c>
      <c r="AO35" s="54">
        <f t="shared" si="34"/>
        <v>53.817859291463421</v>
      </c>
      <c r="AP35" s="54">
        <v>42.252927027218277</v>
      </c>
      <c r="AQ35" s="54">
        <v>24.53166167578549</v>
      </c>
      <c r="AR35" s="61"/>
    </row>
    <row r="36" spans="2:44" x14ac:dyDescent="0.25">
      <c r="B36" s="55"/>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62"/>
      <c r="AI36" s="56"/>
      <c r="AJ36" s="56"/>
      <c r="AK36" s="56"/>
      <c r="AL36" s="56"/>
      <c r="AM36" s="56"/>
      <c r="AN36" s="56"/>
      <c r="AO36" s="56"/>
      <c r="AP36" s="56"/>
      <c r="AQ36" s="56"/>
      <c r="AR36" s="63"/>
    </row>
    <row r="37" spans="2:44" x14ac:dyDescent="0.25">
      <c r="B37" s="49" t="s">
        <v>80</v>
      </c>
      <c r="D37" s="50">
        <v>7.1516394400000003</v>
      </c>
      <c r="E37" s="50">
        <v>16.284502854999999</v>
      </c>
      <c r="F37" s="50">
        <v>11.445125994999984</v>
      </c>
      <c r="G37" s="50">
        <v>12.655592640000005</v>
      </c>
      <c r="H37" s="50">
        <v>13.789798425000001</v>
      </c>
      <c r="I37" s="50">
        <v>13.525925515000001</v>
      </c>
      <c r="J37" s="50">
        <v>13.369197410000002</v>
      </c>
      <c r="K37" s="50">
        <v>13.143578485000003</v>
      </c>
      <c r="L37" s="50">
        <v>11.832593214999999</v>
      </c>
      <c r="M37" s="50">
        <v>11.426000500000001</v>
      </c>
      <c r="N37" s="50">
        <v>12.223197779999996</v>
      </c>
      <c r="O37" s="50">
        <v>10.884559295000006</v>
      </c>
      <c r="P37" s="50">
        <v>10.471156165</v>
      </c>
      <c r="Q37" s="50">
        <v>11.625606394999998</v>
      </c>
      <c r="R37" s="50">
        <v>11.212745079999991</v>
      </c>
      <c r="S37" s="50">
        <v>12.561210595000009</v>
      </c>
      <c r="T37" s="50">
        <v>13.03160046</v>
      </c>
      <c r="U37" s="50">
        <v>12.600999009999999</v>
      </c>
      <c r="V37" s="50">
        <v>13.914549815000004</v>
      </c>
      <c r="W37" s="50">
        <v>12.586270794999994</v>
      </c>
      <c r="X37" s="50">
        <v>9.2466710400000025</v>
      </c>
      <c r="Y37" s="50">
        <v>9.8523992949999979</v>
      </c>
      <c r="Z37" s="50">
        <v>11.449650358068428</v>
      </c>
      <c r="AA37" s="50">
        <v>5.7612367549251928</v>
      </c>
      <c r="AB37" s="50">
        <v>5.4385888041740174</v>
      </c>
      <c r="AC37" s="50">
        <v>10.068898172536219</v>
      </c>
      <c r="AD37" s="50">
        <v>4.2737991299999987</v>
      </c>
      <c r="AE37" s="50">
        <v>3.8907284700000004</v>
      </c>
      <c r="AF37" s="50">
        <v>3.8911460299999998</v>
      </c>
      <c r="AG37" s="50">
        <v>3.5522479085036522</v>
      </c>
      <c r="AH37" s="50"/>
      <c r="AI37" s="50">
        <v>51.416442574999991</v>
      </c>
      <c r="AJ37" s="50">
        <v>49.771369610000008</v>
      </c>
      <c r="AK37" s="50">
        <v>45.204519634999997</v>
      </c>
      <c r="AL37" s="50">
        <v>49.406555144999999</v>
      </c>
      <c r="AM37" s="50">
        <v>45.599890944999999</v>
      </c>
      <c r="AN37" s="50">
        <v>32.718374089703858</v>
      </c>
      <c r="AO37" s="109">
        <v>15.607921538503652</v>
      </c>
      <c r="AP37" s="109">
        <v>16.636506999999998</v>
      </c>
      <c r="AQ37" s="109">
        <v>18.481609073689679</v>
      </c>
      <c r="AR37" s="50"/>
    </row>
    <row r="38" spans="2:44" x14ac:dyDescent="0.25">
      <c r="B38" s="55"/>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62"/>
      <c r="AI38" s="56"/>
      <c r="AJ38" s="56"/>
      <c r="AK38" s="56"/>
      <c r="AL38" s="56"/>
      <c r="AM38" s="56"/>
      <c r="AN38" s="56"/>
      <c r="AO38" s="56"/>
      <c r="AP38" s="56"/>
      <c r="AQ38" s="56"/>
      <c r="AR38" s="63"/>
    </row>
    <row r="39" spans="2:44" s="53" customFormat="1" x14ac:dyDescent="0.25">
      <c r="B39" s="57" t="s">
        <v>81</v>
      </c>
      <c r="D39" s="57">
        <f t="shared" ref="D39" si="35">+D35+D37</f>
        <v>16.960416330961216</v>
      </c>
      <c r="E39" s="57">
        <f t="shared" ref="E39:F39" si="36">+E35+E37</f>
        <v>26.043531191639008</v>
      </c>
      <c r="F39" s="57">
        <f t="shared" si="36"/>
        <v>9.4907169945834529</v>
      </c>
      <c r="G39" s="57">
        <f t="shared" ref="G39" si="37">+G35+G37</f>
        <v>13.878108088560731</v>
      </c>
      <c r="H39" s="57">
        <f t="shared" ref="H39:I39" si="38">+H35+H37</f>
        <v>29.104774391381</v>
      </c>
      <c r="I39" s="57">
        <f t="shared" si="38"/>
        <v>25.873340147092712</v>
      </c>
      <c r="J39" s="57">
        <f t="shared" ref="J39:M39" si="39">+J35+J37</f>
        <v>22.814780734103238</v>
      </c>
      <c r="K39" s="57">
        <f t="shared" si="39"/>
        <v>39.414334892514034</v>
      </c>
      <c r="L39" s="57">
        <f t="shared" si="39"/>
        <v>10.90263070650666</v>
      </c>
      <c r="M39" s="57">
        <f t="shared" si="39"/>
        <v>23.266295744494521</v>
      </c>
      <c r="N39" s="57">
        <f t="shared" ref="N39:U39" si="40">+N35+N37</f>
        <v>13.171051459743722</v>
      </c>
      <c r="O39" s="57">
        <f t="shared" si="40"/>
        <v>21.821321866871386</v>
      </c>
      <c r="P39" s="57">
        <f t="shared" si="40"/>
        <v>8.3821096715021817</v>
      </c>
      <c r="Q39" s="57">
        <f t="shared" si="40"/>
        <v>3.3688680712222432</v>
      </c>
      <c r="R39" s="57">
        <f t="shared" si="40"/>
        <v>7.956780461186054</v>
      </c>
      <c r="S39" s="57">
        <f t="shared" si="40"/>
        <v>8.4654853931185308</v>
      </c>
      <c r="T39" s="57">
        <f t="shared" si="40"/>
        <v>0.56227971858849557</v>
      </c>
      <c r="U39" s="57">
        <f t="shared" si="40"/>
        <v>7.964612405114833</v>
      </c>
      <c r="V39" s="57">
        <f t="shared" ref="V39:AC39" si="41">+V35+V37</f>
        <v>12.827570501458915</v>
      </c>
      <c r="W39" s="57">
        <f t="shared" si="41"/>
        <v>21.632238446569936</v>
      </c>
      <c r="X39" s="57">
        <f t="shared" si="41"/>
        <v>25.641937486382265</v>
      </c>
      <c r="Y39" s="57">
        <f t="shared" si="41"/>
        <v>27.831296218023649</v>
      </c>
      <c r="Z39" s="57">
        <f t="shared" si="41"/>
        <v>50.113181528807786</v>
      </c>
      <c r="AA39" s="57">
        <f t="shared" si="41"/>
        <v>17.001583345286253</v>
      </c>
      <c r="AB39" s="57">
        <f t="shared" si="41"/>
        <v>26.240651681501109</v>
      </c>
      <c r="AC39" s="57">
        <f t="shared" si="41"/>
        <v>34.492323879126801</v>
      </c>
      <c r="AD39" s="57">
        <f>+AD35+AD37</f>
        <v>25.867013771463412</v>
      </c>
      <c r="AE39" s="57">
        <f>+AE35+AE37</f>
        <v>27.584733759999992</v>
      </c>
      <c r="AF39" s="57">
        <f>+AF35+AF37</f>
        <v>11.744308309999994</v>
      </c>
      <c r="AG39" s="57">
        <f>+AG35+AG37</f>
        <v>4.2297249885036559</v>
      </c>
      <c r="AH39" s="64"/>
      <c r="AI39" s="57">
        <f t="shared" ref="AI39" si="42">+AI35+AI37</f>
        <v>78.346939621617906</v>
      </c>
      <c r="AJ39" s="57">
        <f t="shared" ref="AJ39:AO39" si="43">+AJ35+AJ37</f>
        <v>96.398042077618442</v>
      </c>
      <c r="AK39" s="57">
        <f t="shared" si="43"/>
        <v>46.743351069339518</v>
      </c>
      <c r="AL39" s="57">
        <f t="shared" si="43"/>
        <v>24.949157978007904</v>
      </c>
      <c r="AM39" s="57">
        <f t="shared" si="43"/>
        <v>87.933042652434764</v>
      </c>
      <c r="AN39" s="57">
        <f t="shared" si="43"/>
        <v>127.84774043472196</v>
      </c>
      <c r="AO39" s="57">
        <f t="shared" si="43"/>
        <v>69.425780829967067</v>
      </c>
      <c r="AP39" s="57">
        <v>58.889434027218272</v>
      </c>
      <c r="AQ39" s="57">
        <v>43.013270749475168</v>
      </c>
      <c r="AR39" s="65"/>
    </row>
    <row r="40" spans="2:44" x14ac:dyDescent="0.25">
      <c r="B40" s="48"/>
      <c r="D40" s="56"/>
      <c r="E40" s="56"/>
      <c r="F40" s="56"/>
      <c r="G40" s="56"/>
      <c r="H40" s="56"/>
      <c r="I40" s="56"/>
      <c r="J40" s="56"/>
      <c r="K40" s="56"/>
      <c r="L40" s="56"/>
      <c r="M40" s="100"/>
      <c r="N40" s="56"/>
      <c r="O40" s="56"/>
      <c r="P40" s="56"/>
      <c r="Q40" s="100"/>
      <c r="R40" s="56"/>
      <c r="S40" s="56"/>
      <c r="T40" s="56"/>
      <c r="U40" s="100"/>
      <c r="V40" s="56"/>
      <c r="W40" s="56"/>
      <c r="X40" s="56"/>
      <c r="Y40" s="100"/>
      <c r="Z40" s="48"/>
      <c r="AA40" s="48"/>
      <c r="AB40" s="48"/>
      <c r="AC40" s="48"/>
      <c r="AD40" s="48"/>
      <c r="AE40" s="48"/>
      <c r="AF40" s="48"/>
      <c r="AG40" s="48"/>
      <c r="AH40" s="66"/>
      <c r="AI40" s="48"/>
      <c r="AJ40" s="48"/>
      <c r="AK40" s="48"/>
      <c r="AL40" s="48"/>
      <c r="AM40" s="48"/>
      <c r="AN40" s="48"/>
      <c r="AO40" s="48"/>
      <c r="AP40" s="48"/>
      <c r="AQ40" s="48"/>
      <c r="AR40" s="31"/>
    </row>
    <row r="41" spans="2:44" x14ac:dyDescent="0.25">
      <c r="B41" s="58" t="s">
        <v>83</v>
      </c>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58"/>
      <c r="AE41" s="58"/>
      <c r="AF41" s="58"/>
      <c r="AG41" s="58"/>
      <c r="AH41" s="58"/>
      <c r="AI41" s="58"/>
      <c r="AJ41" s="58"/>
      <c r="AK41" s="58"/>
      <c r="AL41" s="58"/>
      <c r="AM41" s="58"/>
      <c r="AN41" s="58"/>
      <c r="AO41" s="58"/>
      <c r="AP41" s="58"/>
      <c r="AQ41" s="58"/>
      <c r="AR41" s="58"/>
    </row>
    <row r="42" spans="2:44" x14ac:dyDescent="0.25">
      <c r="B42" s="46" t="s">
        <v>72</v>
      </c>
      <c r="D42" s="46" t="str">
        <f t="shared" ref="D42" si="44">+D9</f>
        <v>2Q2019</v>
      </c>
      <c r="E42" s="46" t="str">
        <f t="shared" ref="E42:F42" si="45">+E9</f>
        <v>1Q2019(°)</v>
      </c>
      <c r="F42" s="46" t="str">
        <f t="shared" si="45"/>
        <v>4Q2018</v>
      </c>
      <c r="G42" s="46" t="str">
        <f t="shared" ref="G42" si="46">+G9</f>
        <v>3Q2018(°°)</v>
      </c>
      <c r="H42" s="46" t="str">
        <f t="shared" ref="H42:I42" si="47">+H9</f>
        <v>2Q 2018(°°)</v>
      </c>
      <c r="I42" s="46" t="str">
        <f t="shared" si="47"/>
        <v>1Q 2018(°°)</v>
      </c>
      <c r="J42" s="46" t="str">
        <f t="shared" ref="J42:K42" si="48">+J9</f>
        <v>4Q 2017</v>
      </c>
      <c r="K42" s="46" t="str">
        <f t="shared" si="48"/>
        <v>3Q 2017</v>
      </c>
      <c r="L42" s="46" t="str">
        <f>+L9</f>
        <v>2Q 2017</v>
      </c>
      <c r="M42" s="46" t="s">
        <v>123</v>
      </c>
      <c r="N42" s="46" t="str">
        <f t="shared" ref="N42:O42" si="49">+N9</f>
        <v>4Q 2016</v>
      </c>
      <c r="O42" s="46" t="str">
        <f t="shared" si="49"/>
        <v>3Q 2016</v>
      </c>
      <c r="P42" s="46" t="str">
        <f>+P9</f>
        <v>2Q 2016</v>
      </c>
      <c r="Q42" s="46" t="s">
        <v>123</v>
      </c>
      <c r="R42" s="46" t="str">
        <f t="shared" ref="R42:S42" si="50">+R9</f>
        <v>4Q 2015</v>
      </c>
      <c r="S42" s="46" t="str">
        <f t="shared" si="50"/>
        <v>3Q 2015</v>
      </c>
      <c r="T42" s="46" t="str">
        <f>+T9</f>
        <v>2Q 2015</v>
      </c>
      <c r="U42" s="46" t="s">
        <v>123</v>
      </c>
      <c r="V42" s="46" t="s">
        <v>103</v>
      </c>
      <c r="W42" s="46" t="s">
        <v>104</v>
      </c>
      <c r="X42" s="46" t="s">
        <v>105</v>
      </c>
      <c r="Y42" s="46" t="s">
        <v>102</v>
      </c>
      <c r="Z42" s="46" t="s">
        <v>99</v>
      </c>
      <c r="AA42" s="46" t="s">
        <v>4</v>
      </c>
      <c r="AB42" s="46" t="s">
        <v>5</v>
      </c>
      <c r="AC42" s="46" t="s">
        <v>6</v>
      </c>
      <c r="AD42" s="46" t="s">
        <v>73</v>
      </c>
      <c r="AE42" s="46" t="s">
        <v>74</v>
      </c>
      <c r="AF42" s="46" t="s">
        <v>75</v>
      </c>
      <c r="AG42" s="46" t="s">
        <v>76</v>
      </c>
      <c r="AH42" s="59"/>
      <c r="AI42" s="46">
        <f>+AI9</f>
        <v>2018</v>
      </c>
      <c r="AJ42" s="46">
        <f>+AJ9</f>
        <v>2017</v>
      </c>
      <c r="AK42" s="46">
        <f>+AK9</f>
        <v>2016</v>
      </c>
      <c r="AL42" s="46">
        <v>2015</v>
      </c>
      <c r="AM42" s="46">
        <v>2014</v>
      </c>
      <c r="AN42" s="46">
        <v>2013</v>
      </c>
      <c r="AO42" s="46">
        <v>2012</v>
      </c>
      <c r="AP42" s="46">
        <v>2011</v>
      </c>
      <c r="AQ42" s="46">
        <v>2010</v>
      </c>
      <c r="AR42" s="60"/>
    </row>
    <row r="43" spans="2:44" x14ac:dyDescent="0.25">
      <c r="B43" s="48"/>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59"/>
      <c r="AI43" s="45"/>
      <c r="AJ43" s="45"/>
      <c r="AK43" s="45"/>
      <c r="AL43" s="45"/>
      <c r="AM43" s="45"/>
      <c r="AN43" s="45"/>
      <c r="AO43" s="45"/>
      <c r="AP43" s="45"/>
      <c r="AQ43" s="45"/>
      <c r="AR43" s="59"/>
    </row>
    <row r="44" spans="2:44" x14ac:dyDescent="0.25">
      <c r="B44" s="49" t="s">
        <v>78</v>
      </c>
      <c r="D44" s="50">
        <v>-76.800060210000012</v>
      </c>
      <c r="E44" s="50">
        <v>-75.77112043999999</v>
      </c>
      <c r="F44" s="50">
        <v>-71.476014460000002</v>
      </c>
      <c r="G44" s="50">
        <v>-66.413502189999988</v>
      </c>
      <c r="H44" s="50">
        <v>-73.138698129999995</v>
      </c>
      <c r="I44" s="50">
        <v>-69.583886429999993</v>
      </c>
      <c r="J44" s="50">
        <v>-69.032088309999992</v>
      </c>
      <c r="K44" s="50">
        <v>-84.255907579999999</v>
      </c>
      <c r="L44" s="50">
        <v>-55.554618629999993</v>
      </c>
      <c r="M44" s="50">
        <v>-62.598171409999999</v>
      </c>
      <c r="N44" s="50">
        <v>-53.991896379999993</v>
      </c>
      <c r="O44" s="50">
        <v>-57.538213769999999</v>
      </c>
      <c r="P44" s="50">
        <v>-47.741382268000002</v>
      </c>
      <c r="Q44" s="50">
        <v>-43.398964419999999</v>
      </c>
      <c r="R44" s="50">
        <v>-44.827274639999999</v>
      </c>
      <c r="S44" s="50">
        <v>-50.732087609999994</v>
      </c>
      <c r="T44" s="50">
        <v>-48.854529789999994</v>
      </c>
      <c r="U44" s="50">
        <v>-56.403582320000005</v>
      </c>
      <c r="V44" s="50">
        <v>-66.524499250000019</v>
      </c>
      <c r="W44" s="50">
        <v>-74.909658579999999</v>
      </c>
      <c r="X44" s="50">
        <v>-81.689969689999998</v>
      </c>
      <c r="Y44" s="50">
        <v>-64.496799780000003</v>
      </c>
      <c r="Z44" s="50">
        <v>-102.78730093999999</v>
      </c>
      <c r="AA44" s="50">
        <v>-74.408858559999999</v>
      </c>
      <c r="AB44" s="50">
        <v>-67.960055010494074</v>
      </c>
      <c r="AC44" s="50">
        <v>-71.240376167487454</v>
      </c>
      <c r="AD44" s="50">
        <v>-40.372717281463409</v>
      </c>
      <c r="AE44" s="50">
        <v>-53.790945799999996</v>
      </c>
      <c r="AF44" s="50">
        <v>-44.353394909999999</v>
      </c>
      <c r="AG44" s="50">
        <v>-45.260751810000002</v>
      </c>
      <c r="AH44" s="50"/>
      <c r="AI44" s="50">
        <v>-280.61210120999993</v>
      </c>
      <c r="AJ44" s="50">
        <v>-271.44078593</v>
      </c>
      <c r="AK44" s="50">
        <v>-202.67045683799998</v>
      </c>
      <c r="AL44" s="50">
        <v>-200.81747436000001</v>
      </c>
      <c r="AM44" s="50">
        <v>-287.62092730000001</v>
      </c>
      <c r="AN44" s="109">
        <v>-316.39659067798152</v>
      </c>
      <c r="AO44" s="109">
        <v>-183.77780980146343</v>
      </c>
      <c r="AP44" s="109">
        <v>-149.34780383028848</v>
      </c>
      <c r="AQ44" s="109">
        <v>-127.68903153227863</v>
      </c>
      <c r="AR44" s="50"/>
    </row>
    <row r="45" spans="2:44" x14ac:dyDescent="0.25">
      <c r="B45" s="49" t="s">
        <v>10</v>
      </c>
      <c r="D45" s="51">
        <v>74.352662628627698</v>
      </c>
      <c r="E45" s="51">
        <v>79.427080624169591</v>
      </c>
      <c r="F45" s="51">
        <v>68.105983199982774</v>
      </c>
      <c r="G45" s="51">
        <v>64.355706958363555</v>
      </c>
      <c r="H45" s="51">
        <v>76.834453005333572</v>
      </c>
      <c r="I45" s="51">
        <v>72.158545481681315</v>
      </c>
      <c r="J45" s="51">
        <v>68.814685167625569</v>
      </c>
      <c r="K45" s="51">
        <v>89.535826608261587</v>
      </c>
      <c r="L45" s="51">
        <v>50.818863435614077</v>
      </c>
      <c r="M45" s="51">
        <v>66.416369118055471</v>
      </c>
      <c r="N45" s="51">
        <v>53.625998841910615</v>
      </c>
      <c r="O45" s="51">
        <v>53.448695327211567</v>
      </c>
      <c r="P45" s="51">
        <v>47.413775772105893</v>
      </c>
      <c r="Q45" s="51">
        <v>44.197952999255463</v>
      </c>
      <c r="R45" s="51">
        <v>41.649713436934135</v>
      </c>
      <c r="S45" s="51">
        <v>52.127013325887432</v>
      </c>
      <c r="T45" s="51">
        <v>50.347616045316883</v>
      </c>
      <c r="U45" s="51">
        <v>49.838181135633079</v>
      </c>
      <c r="V45" s="51">
        <v>69.353562699794821</v>
      </c>
      <c r="W45" s="51">
        <v>75.094831657539714</v>
      </c>
      <c r="X45" s="51">
        <v>81.618656252136873</v>
      </c>
      <c r="Y45" s="51">
        <v>63.988094172434081</v>
      </c>
      <c r="Z45" s="51">
        <v>102.50287201702393</v>
      </c>
      <c r="AA45" s="51">
        <v>70.675341100505719</v>
      </c>
      <c r="AB45" s="51">
        <v>75.292232350193686</v>
      </c>
      <c r="AC45" s="51">
        <v>64.724379137130015</v>
      </c>
      <c r="AD45" s="51">
        <v>39.955156965144177</v>
      </c>
      <c r="AE45" s="51">
        <v>47.744298014059432</v>
      </c>
      <c r="AF45" s="51">
        <v>48.288289692042063</v>
      </c>
      <c r="AG45" s="51">
        <v>39.936532921857079</v>
      </c>
      <c r="AH45" s="50"/>
      <c r="AI45" s="51">
        <v>281.45468864536122</v>
      </c>
      <c r="AJ45" s="51">
        <v>275.58574432955669</v>
      </c>
      <c r="AK45" s="51">
        <v>198.68642294048354</v>
      </c>
      <c r="AL45" s="51">
        <v>193.96252394377154</v>
      </c>
      <c r="AM45" s="51">
        <v>290.05514478190548</v>
      </c>
      <c r="AN45" s="110">
        <v>313.19482460485335</v>
      </c>
      <c r="AO45" s="110">
        <v>175.92427759310274</v>
      </c>
      <c r="AP45" s="110">
        <v>144.87457783032335</v>
      </c>
      <c r="AQ45" s="110">
        <v>127.68903153227863</v>
      </c>
      <c r="AR45" s="50"/>
    </row>
    <row r="46" spans="2:44" x14ac:dyDescent="0.25">
      <c r="B46" s="49"/>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0"/>
      <c r="AI46" s="52"/>
      <c r="AJ46" s="52"/>
      <c r="AK46" s="52"/>
      <c r="AL46" s="52"/>
      <c r="AM46" s="52"/>
      <c r="AN46" s="52"/>
      <c r="AO46" s="52"/>
      <c r="AP46" s="52"/>
      <c r="AQ46" s="52"/>
      <c r="AR46" s="50"/>
    </row>
    <row r="47" spans="2:44" s="53" customFormat="1" x14ac:dyDescent="0.25">
      <c r="B47" s="54" t="s">
        <v>14</v>
      </c>
      <c r="D47" s="54">
        <f t="shared" ref="D47" si="51">+D44+D45</f>
        <v>-2.4473975813723143</v>
      </c>
      <c r="E47" s="54">
        <f t="shared" ref="E47:F47" si="52">+E44+E45</f>
        <v>3.6559601841696008</v>
      </c>
      <c r="F47" s="54">
        <f t="shared" si="52"/>
        <v>-3.3700312600172282</v>
      </c>
      <c r="G47" s="54">
        <f t="shared" ref="G47" si="53">+G44+G45</f>
        <v>-2.0577952316364332</v>
      </c>
      <c r="H47" s="54">
        <f t="shared" ref="H47:I47" si="54">+H44+H45</f>
        <v>3.6957548753335772</v>
      </c>
      <c r="I47" s="54">
        <f t="shared" si="54"/>
        <v>2.5746590516813228</v>
      </c>
      <c r="J47" s="54">
        <f t="shared" ref="J47:M47" si="55">+J44+J45</f>
        <v>-0.21740314237442249</v>
      </c>
      <c r="K47" s="54">
        <f t="shared" si="55"/>
        <v>5.2799190282615882</v>
      </c>
      <c r="L47" s="54">
        <f t="shared" si="55"/>
        <v>-4.7357551943859164</v>
      </c>
      <c r="M47" s="54">
        <f t="shared" si="55"/>
        <v>3.8181977080554717</v>
      </c>
      <c r="N47" s="54">
        <f t="shared" ref="N47:U47" si="56">+N44+N45</f>
        <v>-0.36589753808937786</v>
      </c>
      <c r="O47" s="54">
        <f t="shared" si="56"/>
        <v>-4.0895184427884317</v>
      </c>
      <c r="P47" s="54">
        <f t="shared" si="56"/>
        <v>-0.32760649589410917</v>
      </c>
      <c r="Q47" s="54">
        <f t="shared" si="56"/>
        <v>0.79898857925546451</v>
      </c>
      <c r="R47" s="54">
        <f t="shared" si="56"/>
        <v>-3.1775612030658635</v>
      </c>
      <c r="S47" s="54">
        <f t="shared" si="56"/>
        <v>1.3949257158874389</v>
      </c>
      <c r="T47" s="54">
        <f t="shared" si="56"/>
        <v>1.4930862553168893</v>
      </c>
      <c r="U47" s="54">
        <f t="shared" si="56"/>
        <v>-6.5654011843669267</v>
      </c>
      <c r="V47" s="54">
        <f t="shared" ref="V47:AA47" si="57">+V44+V45</f>
        <v>2.829063449794802</v>
      </c>
      <c r="W47" s="54">
        <f t="shared" si="57"/>
        <v>0.18517307753971579</v>
      </c>
      <c r="X47" s="54">
        <f t="shared" si="57"/>
        <v>-7.1313437863125273E-2</v>
      </c>
      <c r="Y47" s="54">
        <f t="shared" si="57"/>
        <v>-0.50870560756592198</v>
      </c>
      <c r="Z47" s="54">
        <f t="shared" si="57"/>
        <v>-0.28442892297606193</v>
      </c>
      <c r="AA47" s="54">
        <f t="shared" si="57"/>
        <v>-3.7335174594942799</v>
      </c>
      <c r="AB47" s="54">
        <f t="shared" ref="AB47:AG47" si="58">+AB44+AB45</f>
        <v>7.3321773396996122</v>
      </c>
      <c r="AC47" s="54">
        <f t="shared" si="58"/>
        <v>-6.5159970303574397</v>
      </c>
      <c r="AD47" s="54">
        <f t="shared" si="58"/>
        <v>-0.41756031631923207</v>
      </c>
      <c r="AE47" s="54">
        <f t="shared" si="58"/>
        <v>-6.0466477859405643</v>
      </c>
      <c r="AF47" s="54">
        <f t="shared" si="58"/>
        <v>3.9348947820420648</v>
      </c>
      <c r="AG47" s="54">
        <f t="shared" si="58"/>
        <v>-5.3242188881429229</v>
      </c>
      <c r="AH47" s="50"/>
      <c r="AI47" s="54">
        <f t="shared" ref="AI47" si="59">+AI44+AI45</f>
        <v>0.84258743536128122</v>
      </c>
      <c r="AJ47" s="54">
        <f t="shared" ref="AJ47:AO47" si="60">+AJ44+AJ45</f>
        <v>4.1449583995566854</v>
      </c>
      <c r="AK47" s="54">
        <f t="shared" si="60"/>
        <v>-3.98403389751644</v>
      </c>
      <c r="AL47" s="54">
        <f t="shared" si="60"/>
        <v>-6.854950416228462</v>
      </c>
      <c r="AM47" s="54">
        <f t="shared" si="60"/>
        <v>2.4342174819054776</v>
      </c>
      <c r="AN47" s="54">
        <f t="shared" si="60"/>
        <v>-3.2017660731281694</v>
      </c>
      <c r="AO47" s="54">
        <f t="shared" si="60"/>
        <v>-7.85353220836069</v>
      </c>
      <c r="AP47" s="54">
        <v>-4.4732259999651376</v>
      </c>
      <c r="AQ47" s="54">
        <v>0</v>
      </c>
      <c r="AR47" s="61"/>
    </row>
    <row r="48" spans="2:44" x14ac:dyDescent="0.25">
      <c r="B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66"/>
      <c r="AI48" s="48"/>
      <c r="AJ48" s="48"/>
      <c r="AK48" s="48"/>
      <c r="AL48" s="48"/>
      <c r="AM48" s="48"/>
      <c r="AN48" s="48"/>
      <c r="AO48" s="48"/>
      <c r="AP48" s="48"/>
      <c r="AQ48" s="48"/>
      <c r="AR48" s="31"/>
    </row>
    <row r="49" spans="2:49" x14ac:dyDescent="0.25">
      <c r="B49" s="58" t="s">
        <v>84</v>
      </c>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58"/>
      <c r="AE49" s="58"/>
      <c r="AF49" s="58"/>
      <c r="AG49" s="58"/>
      <c r="AH49" s="58"/>
      <c r="AI49" s="58"/>
      <c r="AJ49" s="58"/>
      <c r="AK49" s="58"/>
      <c r="AL49" s="58"/>
      <c r="AM49" s="58"/>
      <c r="AN49" s="58"/>
      <c r="AO49" s="58"/>
      <c r="AP49" s="58"/>
      <c r="AQ49" s="58"/>
      <c r="AR49" s="58"/>
    </row>
    <row r="50" spans="2:49" x14ac:dyDescent="0.25">
      <c r="B50" s="46" t="s">
        <v>72</v>
      </c>
      <c r="D50" s="46" t="str">
        <f t="shared" ref="D50" si="61">+D42</f>
        <v>2Q2019</v>
      </c>
      <c r="E50" s="46" t="str">
        <f t="shared" ref="E50:F50" si="62">+E42</f>
        <v>1Q2019(°)</v>
      </c>
      <c r="F50" s="46" t="str">
        <f t="shared" si="62"/>
        <v>4Q2018</v>
      </c>
      <c r="G50" s="46" t="str">
        <f t="shared" ref="G50" si="63">+G42</f>
        <v>3Q2018(°°)</v>
      </c>
      <c r="H50" s="46" t="str">
        <f t="shared" ref="H50:I50" si="64">+H42</f>
        <v>2Q 2018(°°)</v>
      </c>
      <c r="I50" s="46" t="str">
        <f t="shared" si="64"/>
        <v>1Q 2018(°°)</v>
      </c>
      <c r="J50" s="46" t="str">
        <f t="shared" ref="J50:L50" si="65">+J42</f>
        <v>4Q 2017</v>
      </c>
      <c r="K50" s="46" t="str">
        <f t="shared" si="65"/>
        <v>3Q 2017</v>
      </c>
      <c r="L50" s="46" t="str">
        <f t="shared" si="65"/>
        <v>2Q 2017</v>
      </c>
      <c r="M50" s="46" t="str">
        <f>+M42</f>
        <v>1Q 2015</v>
      </c>
      <c r="N50" s="46" t="str">
        <f t="shared" ref="N50:P50" si="66">+N42</f>
        <v>4Q 2016</v>
      </c>
      <c r="O50" s="46" t="str">
        <f t="shared" si="66"/>
        <v>3Q 2016</v>
      </c>
      <c r="P50" s="46" t="str">
        <f t="shared" si="66"/>
        <v>2Q 2016</v>
      </c>
      <c r="Q50" s="46" t="str">
        <f>+Q42</f>
        <v>1Q 2015</v>
      </c>
      <c r="R50" s="46" t="str">
        <f t="shared" ref="R50:T50" si="67">+R42</f>
        <v>4Q 2015</v>
      </c>
      <c r="S50" s="46" t="str">
        <f t="shared" si="67"/>
        <v>3Q 2015</v>
      </c>
      <c r="T50" s="46" t="str">
        <f t="shared" si="67"/>
        <v>2Q 2015</v>
      </c>
      <c r="U50" s="46" t="str">
        <f>+U42</f>
        <v>1Q 2015</v>
      </c>
      <c r="V50" s="46" t="s">
        <v>103</v>
      </c>
      <c r="W50" s="46" t="s">
        <v>104</v>
      </c>
      <c r="X50" s="46" t="s">
        <v>105</v>
      </c>
      <c r="Y50" s="46" t="s">
        <v>102</v>
      </c>
      <c r="Z50" s="46" t="s">
        <v>99</v>
      </c>
      <c r="AA50" s="46" t="s">
        <v>4</v>
      </c>
      <c r="AB50" s="46" t="s">
        <v>5</v>
      </c>
      <c r="AC50" s="46" t="s">
        <v>6</v>
      </c>
      <c r="AD50" s="46" t="s">
        <v>73</v>
      </c>
      <c r="AE50" s="46" t="s">
        <v>74</v>
      </c>
      <c r="AF50" s="46" t="s">
        <v>75</v>
      </c>
      <c r="AG50" s="46" t="s">
        <v>76</v>
      </c>
      <c r="AH50" s="59"/>
      <c r="AI50" s="46">
        <f>+AI9</f>
        <v>2018</v>
      </c>
      <c r="AJ50" s="46">
        <f>+AJ9</f>
        <v>2017</v>
      </c>
      <c r="AK50" s="46">
        <f>+AK9</f>
        <v>2016</v>
      </c>
      <c r="AL50" s="46">
        <v>2015</v>
      </c>
      <c r="AM50" s="46">
        <v>2014</v>
      </c>
      <c r="AN50" s="46">
        <v>2013</v>
      </c>
      <c r="AO50" s="46">
        <v>2012</v>
      </c>
      <c r="AP50" s="46">
        <v>2011</v>
      </c>
      <c r="AQ50" s="46">
        <v>2010</v>
      </c>
      <c r="AR50" s="60"/>
    </row>
    <row r="51" spans="2:49" x14ac:dyDescent="0.25">
      <c r="B51" s="48"/>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59"/>
      <c r="AI51" s="45"/>
      <c r="AJ51" s="45"/>
      <c r="AK51" s="45"/>
      <c r="AL51" s="45"/>
      <c r="AM51" s="45"/>
      <c r="AN51" s="45"/>
      <c r="AO51" s="45"/>
      <c r="AP51" s="45"/>
      <c r="AQ51" s="45"/>
      <c r="AR51" s="59"/>
    </row>
    <row r="52" spans="2:49" x14ac:dyDescent="0.25">
      <c r="B52" s="49" t="s">
        <v>78</v>
      </c>
      <c r="D52" s="50">
        <f t="shared" ref="D52:I52" si="68">+D13+D30+D44</f>
        <v>2813.3889283101171</v>
      </c>
      <c r="E52" s="50">
        <f t="shared" si="68"/>
        <v>2785.3100706082678</v>
      </c>
      <c r="F52" s="50">
        <f t="shared" si="68"/>
        <v>2636.1298885982837</v>
      </c>
      <c r="G52" s="50">
        <f t="shared" si="68"/>
        <v>2999.2308354749662</v>
      </c>
      <c r="H52" s="50">
        <f t="shared" si="68"/>
        <v>3022.4346083611854</v>
      </c>
      <c r="I52" s="50">
        <f t="shared" si="68"/>
        <v>2797.0118472688837</v>
      </c>
      <c r="J52" s="50">
        <f t="shared" ref="J52:M52" si="69">+J13+J30+J44</f>
        <v>2767.5078055770346</v>
      </c>
      <c r="K52" s="50">
        <f t="shared" si="69"/>
        <v>2535.024028730893</v>
      </c>
      <c r="L52" s="50">
        <f t="shared" si="69"/>
        <v>2322.6558735267736</v>
      </c>
      <c r="M52" s="50">
        <f t="shared" si="69"/>
        <v>2075.1080626842295</v>
      </c>
      <c r="N52" s="50">
        <f t="shared" ref="N52:Q52" si="70">+N13+N30+N44</f>
        <v>1849.5813545719504</v>
      </c>
      <c r="O52" s="50">
        <f t="shared" si="70"/>
        <v>1856.0500856442006</v>
      </c>
      <c r="P52" s="50">
        <f t="shared" si="70"/>
        <v>1862.8414860604344</v>
      </c>
      <c r="Q52" s="50">
        <f t="shared" si="70"/>
        <v>1655.5018587477527</v>
      </c>
      <c r="R52" s="50">
        <f t="shared" ref="R52:U53" si="71">+R13+R30+R44</f>
        <v>1809.9481625198309</v>
      </c>
      <c r="S52" s="50">
        <f t="shared" si="71"/>
        <v>1945.354507507971</v>
      </c>
      <c r="T52" s="50">
        <f t="shared" si="71"/>
        <v>1996.0717563902399</v>
      </c>
      <c r="U52" s="50">
        <f t="shared" si="71"/>
        <v>2126.0746398206279</v>
      </c>
      <c r="V52" s="50">
        <f t="shared" ref="V52:AA53" si="72">+V13+V30+V44</f>
        <v>2154.5761629861795</v>
      </c>
      <c r="W52" s="50">
        <f t="shared" si="72"/>
        <v>2218.3458251736001</v>
      </c>
      <c r="X52" s="50">
        <f t="shared" si="72"/>
        <v>2203.7422526865166</v>
      </c>
      <c r="Y52" s="50">
        <f t="shared" si="72"/>
        <v>2149.39265410191</v>
      </c>
      <c r="Z52" s="50">
        <f t="shared" si="72"/>
        <v>2116.0186651557206</v>
      </c>
      <c r="AA52" s="50">
        <f t="shared" si="72"/>
        <v>2143.8237071396306</v>
      </c>
      <c r="AB52" s="50">
        <f t="shared" ref="AB52:AG52" si="73">+AB13+AB30+AB44</f>
        <v>2134.4396773134417</v>
      </c>
      <c r="AC52" s="50">
        <f t="shared" si="73"/>
        <v>2135.730367159244</v>
      </c>
      <c r="AD52" s="50">
        <f t="shared" si="73"/>
        <v>2070.982418123042</v>
      </c>
      <c r="AE52" s="50">
        <f t="shared" si="73"/>
        <v>2197.978014249341</v>
      </c>
      <c r="AF52" s="50">
        <f t="shared" si="73"/>
        <v>2157.2025883218171</v>
      </c>
      <c r="AG52" s="50">
        <f t="shared" si="73"/>
        <v>2181.8911784466213</v>
      </c>
      <c r="AH52" s="50"/>
      <c r="AI52" s="50">
        <f t="shared" ref="AI52" si="74">+AI13+AI30+AI44</f>
        <v>11454.807179703319</v>
      </c>
      <c r="AJ52" s="50">
        <f t="shared" ref="AJ52:AL53" si="75">+AJ13+AJ30+AJ44</f>
        <v>9700.2957705189274</v>
      </c>
      <c r="AK52" s="50">
        <f t="shared" si="75"/>
        <v>7223.9747850243384</v>
      </c>
      <c r="AL52" s="50">
        <f t="shared" si="75"/>
        <v>7877.4490662386697</v>
      </c>
      <c r="AM52" s="50">
        <f t="shared" ref="AM52:AO53" si="76">+AM13+AM30+AM44</f>
        <v>8726.0568949482058</v>
      </c>
      <c r="AN52" s="109">
        <f t="shared" si="76"/>
        <v>8530.0124167680369</v>
      </c>
      <c r="AO52" s="109">
        <f t="shared" si="76"/>
        <v>8608.054199140819</v>
      </c>
      <c r="AP52" s="109">
        <v>9122.832380541442</v>
      </c>
      <c r="AQ52" s="109">
        <v>7339.9011117652644</v>
      </c>
      <c r="AR52" s="50"/>
      <c r="AS52" s="104"/>
      <c r="AT52" s="104"/>
      <c r="AU52" s="104"/>
      <c r="AV52" s="104"/>
      <c r="AW52" s="104"/>
    </row>
    <row r="53" spans="2:49" x14ac:dyDescent="0.25">
      <c r="B53" s="49" t="s">
        <v>10</v>
      </c>
      <c r="D53" s="50">
        <f t="shared" ref="D53" si="77">+D14+D31+D45</f>
        <v>-2325.0473243900005</v>
      </c>
      <c r="E53" s="50">
        <f t="shared" ref="E53" si="78">+E14+E31+E45</f>
        <v>-2258.2175988300005</v>
      </c>
      <c r="F53" s="50">
        <f t="shared" ref="F53:G53" si="79">+F14+F31+F45</f>
        <v>-2059.8743722699996</v>
      </c>
      <c r="G53" s="50">
        <f t="shared" si="79"/>
        <v>-2078.2897029921965</v>
      </c>
      <c r="H53" s="50">
        <f t="shared" ref="H53:I53" si="80">+H14+H31+H45</f>
        <v>-2212.4385651845755</v>
      </c>
      <c r="I53" s="50">
        <f t="shared" si="80"/>
        <v>-2132.724922843227</v>
      </c>
      <c r="J53" s="50">
        <f t="shared" ref="J53:M53" si="81">+J14+J31+J45</f>
        <v>-2170.9325484133151</v>
      </c>
      <c r="K53" s="50">
        <f t="shared" si="81"/>
        <v>-1972.4535330199997</v>
      </c>
      <c r="L53" s="50">
        <f t="shared" si="81"/>
        <v>-1728.1771817700003</v>
      </c>
      <c r="M53" s="50">
        <f t="shared" si="81"/>
        <v>-1531.4619902500003</v>
      </c>
      <c r="N53" s="50">
        <f t="shared" ref="N53:Q53" si="82">+N14+N31+N45</f>
        <v>-1416.5759764799993</v>
      </c>
      <c r="O53" s="50">
        <f t="shared" si="82"/>
        <v>-1291.2775550000001</v>
      </c>
      <c r="P53" s="50">
        <f t="shared" si="82"/>
        <v>-1389.7273167900003</v>
      </c>
      <c r="Q53" s="50">
        <f t="shared" si="82"/>
        <v>-1286.8086470499998</v>
      </c>
      <c r="R53" s="50">
        <f t="shared" si="71"/>
        <v>-1438.3762015399998</v>
      </c>
      <c r="S53" s="50">
        <f t="shared" si="71"/>
        <v>-1620.8418208300004</v>
      </c>
      <c r="T53" s="50">
        <f t="shared" si="71"/>
        <v>-1689.7508940099999</v>
      </c>
      <c r="U53" s="50">
        <f t="shared" si="71"/>
        <v>-1728.3034358100006</v>
      </c>
      <c r="V53" s="50">
        <f t="shared" si="72"/>
        <v>-1765.055647101703</v>
      </c>
      <c r="W53" s="50">
        <f t="shared" si="72"/>
        <v>-1759.7256066586986</v>
      </c>
      <c r="X53" s="50">
        <f t="shared" si="72"/>
        <v>-1763.0134268343229</v>
      </c>
      <c r="Y53" s="50">
        <f t="shared" si="72"/>
        <v>-1637.3746579091599</v>
      </c>
      <c r="Z53" s="50">
        <f t="shared" si="72"/>
        <v>-1610.2138604593806</v>
      </c>
      <c r="AA53" s="50">
        <f t="shared" si="72"/>
        <v>-1679.1945048691321</v>
      </c>
      <c r="AB53" s="50">
        <f t="shared" ref="AB53:AG53" si="83">+AB14+AB31+AB45</f>
        <v>-1653.7875395701053</v>
      </c>
      <c r="AC53" s="50">
        <f t="shared" si="83"/>
        <v>-1657.0962885843485</v>
      </c>
      <c r="AD53" s="50">
        <f t="shared" si="83"/>
        <v>-1730.9086879602414</v>
      </c>
      <c r="AE53" s="50">
        <f t="shared" si="83"/>
        <v>-1749.8562272386421</v>
      </c>
      <c r="AF53" s="50">
        <f t="shared" si="83"/>
        <v>-1687.6957736789889</v>
      </c>
      <c r="AG53" s="50">
        <f t="shared" si="83"/>
        <v>-1697.9187203342767</v>
      </c>
      <c r="AH53" s="50"/>
      <c r="AI53" s="50">
        <f t="shared" ref="AI53" si="84">+AI14+AI31+AI45</f>
        <v>-8483.3275632899986</v>
      </c>
      <c r="AJ53" s="50">
        <f t="shared" si="75"/>
        <v>-7403.0252534533165</v>
      </c>
      <c r="AK53" s="50">
        <f t="shared" si="75"/>
        <v>-5384.3894953199988</v>
      </c>
      <c r="AL53" s="50">
        <f t="shared" si="75"/>
        <v>-6477.2723521900007</v>
      </c>
      <c r="AM53" s="50">
        <f t="shared" si="76"/>
        <v>-6925.1693385038843</v>
      </c>
      <c r="AN53" s="109">
        <f t="shared" si="76"/>
        <v>-6600.2921934829656</v>
      </c>
      <c r="AO53" s="109">
        <f t="shared" si="76"/>
        <v>-6866.3794092121498</v>
      </c>
      <c r="AP53" s="109">
        <v>-7016.3</v>
      </c>
      <c r="AQ53" s="109">
        <v>-5560.2013938749151</v>
      </c>
      <c r="AR53" s="50"/>
      <c r="AS53" s="104"/>
      <c r="AT53" s="104"/>
      <c r="AU53" s="104"/>
      <c r="AV53" s="104"/>
      <c r="AW53" s="104"/>
    </row>
    <row r="54" spans="2:49" x14ac:dyDescent="0.25">
      <c r="B54" s="49" t="s">
        <v>79</v>
      </c>
      <c r="D54" s="50">
        <f t="shared" ref="D54" si="85">+D15+D32</f>
        <v>-250.44237887103748</v>
      </c>
      <c r="E54" s="50">
        <f>+E15+E32</f>
        <v>-225.16423208896248</v>
      </c>
      <c r="F54" s="50">
        <f>+F15+F32</f>
        <v>-202.02485707999998</v>
      </c>
      <c r="G54" s="50">
        <f t="shared" ref="G54" si="86">+G15+G32</f>
        <v>-216.91738466823566</v>
      </c>
      <c r="H54" s="50">
        <f t="shared" ref="H54:I54" si="87">+H15+H32</f>
        <v>-233.99204689853468</v>
      </c>
      <c r="I54" s="50">
        <f t="shared" si="87"/>
        <v>-223.82936085322967</v>
      </c>
      <c r="J54" s="50">
        <f t="shared" ref="J54:M54" si="88">+J15+J32</f>
        <v>-251.67491337999999</v>
      </c>
      <c r="K54" s="50">
        <f t="shared" si="88"/>
        <v>-211.24938266000001</v>
      </c>
      <c r="L54" s="50">
        <f t="shared" si="88"/>
        <v>-189.04740997000002</v>
      </c>
      <c r="M54" s="50">
        <f t="shared" si="88"/>
        <v>-172.27549909999999</v>
      </c>
      <c r="N54" s="50">
        <f t="shared" ref="N54:Q54" si="89">+N15+N32</f>
        <v>-175.46400129999998</v>
      </c>
      <c r="O54" s="50">
        <f t="shared" si="89"/>
        <v>-168.44282033000002</v>
      </c>
      <c r="P54" s="50">
        <f t="shared" si="89"/>
        <v>-180.02011203999999</v>
      </c>
      <c r="Q54" s="50">
        <f t="shared" si="89"/>
        <v>-164.01555218000001</v>
      </c>
      <c r="R54" s="50">
        <f t="shared" ref="R54:U55" si="90">+R15+R32</f>
        <v>-180.08335178999999</v>
      </c>
      <c r="S54" s="50">
        <f t="shared" si="90"/>
        <v>-188.04335005999997</v>
      </c>
      <c r="T54" s="50">
        <f t="shared" si="90"/>
        <v>-204.79858025000004</v>
      </c>
      <c r="U54" s="50">
        <f t="shared" si="90"/>
        <v>-197.36639158000006</v>
      </c>
      <c r="V54" s="50">
        <f t="shared" ref="V54:AA55" si="91">+V15+V32</f>
        <v>-201.72242734631007</v>
      </c>
      <c r="W54" s="50">
        <f t="shared" si="91"/>
        <v>-206.17947107557731</v>
      </c>
      <c r="X54" s="50">
        <f t="shared" si="91"/>
        <v>-212.97642749620948</v>
      </c>
      <c r="Y54" s="50">
        <f t="shared" si="91"/>
        <v>-195.59983141383344</v>
      </c>
      <c r="Z54" s="50">
        <f t="shared" si="91"/>
        <v>-210.44177165931302</v>
      </c>
      <c r="AA54" s="50">
        <f t="shared" si="91"/>
        <v>-209.91912899152393</v>
      </c>
      <c r="AB54" s="50">
        <f t="shared" ref="AB54:AG54" si="92">+AB15+AB32</f>
        <v>-215.78386751659301</v>
      </c>
      <c r="AC54" s="50">
        <f t="shared" si="92"/>
        <v>-207.16590267950306</v>
      </c>
      <c r="AD54" s="50">
        <f t="shared" si="92"/>
        <v>-196.97269795381331</v>
      </c>
      <c r="AE54" s="50">
        <f t="shared" si="92"/>
        <v>-197.63796745172334</v>
      </c>
      <c r="AF54" s="50">
        <f t="shared" si="92"/>
        <v>-211.38219702439758</v>
      </c>
      <c r="AG54" s="50">
        <f t="shared" si="92"/>
        <v>-203.18827080560243</v>
      </c>
      <c r="AH54" s="50"/>
      <c r="AI54" s="50">
        <f t="shared" ref="AI54" si="93">+AI15+AI32</f>
        <v>-876.76364950000004</v>
      </c>
      <c r="AJ54" s="50">
        <f t="shared" ref="AJ54:AL55" si="94">+AJ15+AJ32</f>
        <v>-824.2472051100001</v>
      </c>
      <c r="AK54" s="50">
        <f t="shared" si="94"/>
        <v>-687.94248585000003</v>
      </c>
      <c r="AL54" s="50">
        <f t="shared" si="94"/>
        <v>-770.29167368000014</v>
      </c>
      <c r="AM54" s="50">
        <f t="shared" ref="AM54:AO55" si="95">+AM15+AM32</f>
        <v>-816.47815733193033</v>
      </c>
      <c r="AN54" s="109">
        <f t="shared" si="95"/>
        <v>-843.31067084693291</v>
      </c>
      <c r="AO54" s="109">
        <f t="shared" si="95"/>
        <v>-809.18113323553666</v>
      </c>
      <c r="AP54" s="109">
        <v>-839.36238743982119</v>
      </c>
      <c r="AQ54" s="109">
        <v>-738.30372826613132</v>
      </c>
      <c r="AR54" s="50"/>
      <c r="AS54" s="104"/>
      <c r="AT54" s="104"/>
      <c r="AU54" s="104"/>
      <c r="AV54" s="104"/>
      <c r="AW54" s="104"/>
    </row>
    <row r="55" spans="2:49" x14ac:dyDescent="0.25">
      <c r="B55" s="49" t="s">
        <v>13</v>
      </c>
      <c r="D55" s="51">
        <f t="shared" ref="D55" si="96">+D16+D33</f>
        <v>0.35246560000000149</v>
      </c>
      <c r="E55" s="51">
        <f>+E16+E33</f>
        <v>5.5349552500000012</v>
      </c>
      <c r="F55" s="51">
        <f>+F16+F33</f>
        <v>8.4681884500000368</v>
      </c>
      <c r="G55" s="51">
        <f t="shared" ref="G55" si="97">+G16+G33</f>
        <v>4.9092332718631475</v>
      </c>
      <c r="H55" s="51">
        <f t="shared" ref="H55:I55" si="98">+H16+H33</f>
        <v>-5.498746699964717</v>
      </c>
      <c r="I55" s="51">
        <f t="shared" si="98"/>
        <v>5.7773665081016183</v>
      </c>
      <c r="J55" s="51">
        <f t="shared" ref="J55:M55" si="99">+J16+J33</f>
        <v>5.0643977500000448</v>
      </c>
      <c r="K55" s="51">
        <f t="shared" si="99"/>
        <v>-1.4754969842011025</v>
      </c>
      <c r="L55" s="51">
        <f t="shared" si="99"/>
        <v>-12.609367130000004</v>
      </c>
      <c r="M55" s="51">
        <f t="shared" si="99"/>
        <v>-7.2199369499999975</v>
      </c>
      <c r="N55" s="51">
        <f t="shared" ref="N55:Q55" si="100">+N16+N33</f>
        <v>-10.840702679999998</v>
      </c>
      <c r="O55" s="51">
        <f t="shared" si="100"/>
        <v>2.8162067299999882</v>
      </c>
      <c r="P55" s="51">
        <f t="shared" si="100"/>
        <v>0.42013178000000584</v>
      </c>
      <c r="Q55" s="51">
        <f t="shared" si="100"/>
        <v>-2.3206782499999967</v>
      </c>
      <c r="R55" s="51">
        <f t="shared" si="90"/>
        <v>0.13440204000002376</v>
      </c>
      <c r="S55" s="51">
        <f t="shared" si="90"/>
        <v>4.0314124599999994</v>
      </c>
      <c r="T55" s="51">
        <f t="shared" si="90"/>
        <v>1.547872819999998</v>
      </c>
      <c r="U55" s="51">
        <f t="shared" si="90"/>
        <v>3.7404455299999957</v>
      </c>
      <c r="V55" s="51">
        <f t="shared" si="91"/>
        <v>3.4815806034602215</v>
      </c>
      <c r="W55" s="51">
        <f t="shared" si="91"/>
        <v>62.103116816265583</v>
      </c>
      <c r="X55" s="51">
        <f t="shared" si="91"/>
        <v>3.5955770107130327</v>
      </c>
      <c r="Y55" s="51">
        <f t="shared" si="91"/>
        <v>2.5709018024445287</v>
      </c>
      <c r="Z55" s="51">
        <f t="shared" si="91"/>
        <v>0.19235707665399651</v>
      </c>
      <c r="AA55" s="51">
        <f t="shared" si="91"/>
        <v>11.344841385712575</v>
      </c>
      <c r="AB55" s="51">
        <f t="shared" ref="AB55:AG55" si="101">+AB16+AB33</f>
        <v>11.13885823503032</v>
      </c>
      <c r="AC55" s="51">
        <f t="shared" si="101"/>
        <v>0.3378796804579105</v>
      </c>
      <c r="AD55" s="51">
        <f t="shared" si="101"/>
        <v>-19.663236425744355</v>
      </c>
      <c r="AE55" s="51">
        <f t="shared" si="101"/>
        <v>3.5989364215193325</v>
      </c>
      <c r="AF55" s="51">
        <f t="shared" si="101"/>
        <v>0.82540597810387428</v>
      </c>
      <c r="AG55" s="51">
        <f t="shared" si="101"/>
        <v>3.3583439570793883</v>
      </c>
      <c r="AH55" s="50"/>
      <c r="AI55" s="51">
        <f t="shared" ref="AI55" si="102">+AI16+AI33</f>
        <v>13.656041530000085</v>
      </c>
      <c r="AJ55" s="51">
        <f t="shared" si="94"/>
        <v>-16.24040331420106</v>
      </c>
      <c r="AK55" s="51">
        <f t="shared" si="94"/>
        <v>-9.9250424200000005</v>
      </c>
      <c r="AL55" s="51">
        <f t="shared" si="94"/>
        <v>9.4541328500000166</v>
      </c>
      <c r="AM55" s="51">
        <f t="shared" si="95"/>
        <v>71.751176232883367</v>
      </c>
      <c r="AN55" s="110">
        <f t="shared" si="95"/>
        <v>23.013936377854801</v>
      </c>
      <c r="AO55" s="110">
        <f t="shared" si="95"/>
        <v>-11.88055006904176</v>
      </c>
      <c r="AP55" s="110">
        <v>-11.494600642348427</v>
      </c>
      <c r="AQ55" s="110">
        <v>2.1622181896002943</v>
      </c>
      <c r="AR55" s="50"/>
      <c r="AS55" s="104"/>
      <c r="AT55" s="104"/>
      <c r="AU55" s="104"/>
      <c r="AV55" s="104"/>
      <c r="AW55" s="104"/>
    </row>
    <row r="56" spans="2:49" x14ac:dyDescent="0.25">
      <c r="B56" s="49"/>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0"/>
      <c r="AI56" s="52"/>
      <c r="AJ56" s="52"/>
      <c r="AK56" s="52"/>
      <c r="AL56" s="52"/>
      <c r="AM56" s="52"/>
      <c r="AN56" s="52"/>
      <c r="AO56" s="52"/>
      <c r="AP56" s="52"/>
      <c r="AQ56" s="52"/>
      <c r="AR56" s="50"/>
      <c r="AS56" s="104"/>
      <c r="AT56" s="104"/>
      <c r="AU56" s="104"/>
      <c r="AV56" s="104"/>
      <c r="AW56" s="104"/>
    </row>
    <row r="57" spans="2:49" s="53" customFormat="1" x14ac:dyDescent="0.25">
      <c r="B57" s="54" t="s">
        <v>14</v>
      </c>
      <c r="D57" s="54">
        <f t="shared" ref="D57" si="103">+SUM(D52:D55)</f>
        <v>238.25169064907905</v>
      </c>
      <c r="E57" s="54">
        <f t="shared" ref="E57:F57" si="104">+SUM(E52:E55)</f>
        <v>307.4631949393048</v>
      </c>
      <c r="F57" s="54">
        <f t="shared" si="104"/>
        <v>382.69884769828417</v>
      </c>
      <c r="G57" s="54">
        <f t="shared" ref="G57" si="105">+SUM(G52:G55)</f>
        <v>708.93298108639726</v>
      </c>
      <c r="H57" s="54">
        <f t="shared" ref="H57:I57" si="106">+SUM(H52:H55)</f>
        <v>570.50524957811047</v>
      </c>
      <c r="I57" s="54">
        <f t="shared" si="106"/>
        <v>446.23493008052867</v>
      </c>
      <c r="J57" s="54">
        <f t="shared" ref="J57:M57" si="107">+SUM(J52:J55)</f>
        <v>349.96474153371952</v>
      </c>
      <c r="K57" s="54">
        <f t="shared" si="107"/>
        <v>349.84561606669212</v>
      </c>
      <c r="L57" s="54">
        <f t="shared" si="107"/>
        <v>392.82191465677329</v>
      </c>
      <c r="M57" s="54">
        <f t="shared" si="107"/>
        <v>364.15063638422919</v>
      </c>
      <c r="N57" s="54">
        <f t="shared" ref="N57:U57" si="108">+SUM(N52:N55)</f>
        <v>246.70067411195117</v>
      </c>
      <c r="O57" s="54">
        <f t="shared" si="108"/>
        <v>399.14591704420047</v>
      </c>
      <c r="P57" s="54">
        <f t="shared" si="108"/>
        <v>293.51418901043417</v>
      </c>
      <c r="Q57" s="54">
        <f t="shared" si="108"/>
        <v>202.35698126775299</v>
      </c>
      <c r="R57" s="54">
        <f t="shared" si="108"/>
        <v>191.62301122983118</v>
      </c>
      <c r="S57" s="54">
        <f t="shared" si="108"/>
        <v>140.50074907797062</v>
      </c>
      <c r="T57" s="54">
        <f t="shared" si="108"/>
        <v>103.07015495023994</v>
      </c>
      <c r="U57" s="54">
        <f t="shared" si="108"/>
        <v>204.14525796062728</v>
      </c>
      <c r="V57" s="54">
        <f t="shared" ref="V57:AA57" si="109">+SUM(V52:V55)</f>
        <v>191.27966914162664</v>
      </c>
      <c r="W57" s="54">
        <f t="shared" si="109"/>
        <v>314.54386425558982</v>
      </c>
      <c r="X57" s="54">
        <f t="shared" si="109"/>
        <v>231.34797536669728</v>
      </c>
      <c r="Y57" s="54">
        <f t="shared" si="109"/>
        <v>318.98906658136127</v>
      </c>
      <c r="Z57" s="54">
        <f t="shared" si="109"/>
        <v>295.55539011368091</v>
      </c>
      <c r="AA57" s="54">
        <f t="shared" si="109"/>
        <v>266.0549146646872</v>
      </c>
      <c r="AB57" s="54">
        <f t="shared" ref="AB57:AG57" si="110">+SUM(AB52:AB55)</f>
        <v>276.00712846177379</v>
      </c>
      <c r="AC57" s="54">
        <f t="shared" si="110"/>
        <v>271.80605557585034</v>
      </c>
      <c r="AD57" s="54">
        <f t="shared" si="110"/>
        <v>123.43779578324286</v>
      </c>
      <c r="AE57" s="54">
        <f t="shared" si="110"/>
        <v>254.08275598049488</v>
      </c>
      <c r="AF57" s="54">
        <f t="shared" si="110"/>
        <v>258.95002359653455</v>
      </c>
      <c r="AG57" s="54">
        <f t="shared" si="110"/>
        <v>284.14253126382158</v>
      </c>
      <c r="AH57" s="50"/>
      <c r="AI57" s="54">
        <f t="shared" ref="AI57" si="111">+SUM(AI52:AI55)</f>
        <v>2108.3720084433203</v>
      </c>
      <c r="AJ57" s="54">
        <f t="shared" ref="AJ57" si="112">+SUM(AJ52:AJ55)</f>
        <v>1456.7829086414097</v>
      </c>
      <c r="AK57" s="54">
        <f t="shared" ref="AK57:AP57" si="113">+SUM(AK52:AK55)</f>
        <v>1141.7177614343395</v>
      </c>
      <c r="AL57" s="54">
        <f t="shared" si="113"/>
        <v>639.33917321866898</v>
      </c>
      <c r="AM57" s="54">
        <f t="shared" si="113"/>
        <v>1056.1605753452745</v>
      </c>
      <c r="AN57" s="54">
        <f t="shared" si="113"/>
        <v>1109.4234888159933</v>
      </c>
      <c r="AO57" s="54">
        <f t="shared" si="113"/>
        <v>920.61310662409085</v>
      </c>
      <c r="AP57" s="54">
        <f t="shared" si="113"/>
        <v>1255.6753924592722</v>
      </c>
      <c r="AQ57" s="54">
        <v>1043.5582078138184</v>
      </c>
      <c r="AR57" s="61"/>
      <c r="AS57" s="104"/>
      <c r="AT57" s="104"/>
      <c r="AU57" s="104"/>
      <c r="AV57" s="104"/>
      <c r="AW57" s="105"/>
    </row>
    <row r="58" spans="2:49" x14ac:dyDescent="0.25">
      <c r="B58" s="55"/>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0"/>
      <c r="AI58" s="56"/>
      <c r="AJ58" s="56"/>
      <c r="AK58" s="56"/>
      <c r="AL58" s="56"/>
      <c r="AM58" s="56"/>
      <c r="AN58" s="56"/>
      <c r="AO58" s="56"/>
      <c r="AP58" s="56"/>
      <c r="AQ58" s="56"/>
      <c r="AR58" s="63"/>
      <c r="AS58" s="104"/>
      <c r="AT58" s="104"/>
      <c r="AU58" s="104"/>
      <c r="AV58" s="104"/>
      <c r="AW58" s="104"/>
    </row>
    <row r="59" spans="2:49" x14ac:dyDescent="0.25">
      <c r="B59" s="49" t="s">
        <v>80</v>
      </c>
      <c r="D59" s="50">
        <f t="shared" ref="D59" si="114">+D20+D37</f>
        <v>171.72976374999999</v>
      </c>
      <c r="E59" s="50">
        <f t="shared" ref="E59" si="115">+E20+E37</f>
        <v>166.16621755999998</v>
      </c>
      <c r="F59" s="50">
        <f t="shared" ref="F59:G59" si="116">+F20+F37</f>
        <v>130.12380019000003</v>
      </c>
      <c r="G59" s="50">
        <f t="shared" si="116"/>
        <v>147.53056115708983</v>
      </c>
      <c r="H59" s="50">
        <f t="shared" ref="H59:I59" si="117">+H20+H37</f>
        <v>154.38471692570863</v>
      </c>
      <c r="I59" s="50">
        <f t="shared" si="117"/>
        <v>157.26020986720152</v>
      </c>
      <c r="J59" s="50">
        <f t="shared" ref="J59:M59" si="118">+J20+J37</f>
        <v>152.36615122999996</v>
      </c>
      <c r="K59" s="50">
        <f t="shared" si="118"/>
        <v>116.29572626000001</v>
      </c>
      <c r="L59" s="50">
        <f t="shared" si="118"/>
        <v>105.03441285999999</v>
      </c>
      <c r="M59" s="50">
        <f t="shared" si="118"/>
        <v>100.60229216</v>
      </c>
      <c r="N59" s="50">
        <f t="shared" ref="N59:U59" si="119">+N20+N37</f>
        <v>103.86511128999999</v>
      </c>
      <c r="O59" s="50">
        <f t="shared" si="119"/>
        <v>103.10302169000001</v>
      </c>
      <c r="P59" s="50">
        <f t="shared" si="119"/>
        <v>99.253909169999986</v>
      </c>
      <c r="Q59" s="50">
        <f t="shared" si="119"/>
        <v>100.66774323999999</v>
      </c>
      <c r="R59" s="50">
        <f t="shared" si="119"/>
        <v>105.45973693999998</v>
      </c>
      <c r="S59" s="50">
        <f t="shared" si="119"/>
        <v>109.90707211</v>
      </c>
      <c r="T59" s="50">
        <f t="shared" si="119"/>
        <v>109.12490523</v>
      </c>
      <c r="U59" s="50">
        <f t="shared" si="119"/>
        <v>109.29468001000001</v>
      </c>
      <c r="V59" s="50">
        <f t="shared" ref="V59:AA59" si="120">+V20+V37</f>
        <v>109.60901787133504</v>
      </c>
      <c r="W59" s="50">
        <f t="shared" si="120"/>
        <v>108.49198890623447</v>
      </c>
      <c r="X59" s="50">
        <f t="shared" si="120"/>
        <v>98.777924643314435</v>
      </c>
      <c r="Y59" s="50">
        <f t="shared" si="120"/>
        <v>97.918124986084436</v>
      </c>
      <c r="Z59" s="50">
        <f t="shared" si="120"/>
        <v>94.487064516061807</v>
      </c>
      <c r="AA59" s="50">
        <f t="shared" si="120"/>
        <v>92.300652646092843</v>
      </c>
      <c r="AB59" s="50">
        <f t="shared" ref="AB59:AG59" si="121">+AB20+AB37</f>
        <v>94.491383736590663</v>
      </c>
      <c r="AC59" s="50">
        <f t="shared" si="121"/>
        <v>95.852250674516981</v>
      </c>
      <c r="AD59" s="50">
        <f t="shared" si="121"/>
        <v>104.179917</v>
      </c>
      <c r="AE59" s="50">
        <f t="shared" si="121"/>
        <v>87.432961469999995</v>
      </c>
      <c r="AF59" s="50">
        <f t="shared" si="121"/>
        <v>90.467349249999998</v>
      </c>
      <c r="AG59" s="50">
        <f t="shared" si="121"/>
        <v>88.773922290000002</v>
      </c>
      <c r="AH59" s="50"/>
      <c r="AI59" s="50">
        <f>+AI20+AI37</f>
        <v>589.29928814000004</v>
      </c>
      <c r="AJ59" s="50">
        <f>+AJ20+AJ37</f>
        <v>474.29858251000002</v>
      </c>
      <c r="AK59" s="50">
        <f t="shared" ref="AK59:AO59" si="122">+AK20+AK37</f>
        <v>406.88978538999999</v>
      </c>
      <c r="AL59" s="50">
        <f t="shared" si="122"/>
        <v>433.78639428999998</v>
      </c>
      <c r="AM59" s="50">
        <f t="shared" si="122"/>
        <v>414.79705640696841</v>
      </c>
      <c r="AN59" s="50">
        <f t="shared" si="122"/>
        <v>377.13135157326229</v>
      </c>
      <c r="AO59" s="50">
        <f t="shared" si="122"/>
        <v>370.85415001000001</v>
      </c>
      <c r="AP59" s="50">
        <v>395.98907509999998</v>
      </c>
      <c r="AQ59" s="50">
        <v>374.20148900000004</v>
      </c>
      <c r="AR59" s="50"/>
      <c r="AS59" s="104"/>
      <c r="AT59" s="104"/>
      <c r="AU59" s="104"/>
      <c r="AV59" s="104"/>
      <c r="AW59" s="104"/>
    </row>
    <row r="60" spans="2:49" x14ac:dyDescent="0.25">
      <c r="B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62"/>
      <c r="AI60" s="56"/>
      <c r="AJ60" s="56"/>
      <c r="AK60" s="56"/>
      <c r="AL60" s="56"/>
      <c r="AM60" s="56"/>
      <c r="AN60" s="56"/>
      <c r="AO60" s="56"/>
      <c r="AP60" s="56"/>
      <c r="AQ60" s="56"/>
      <c r="AR60" s="63"/>
      <c r="AS60" s="104"/>
      <c r="AT60" s="104"/>
      <c r="AU60" s="104"/>
      <c r="AV60" s="104"/>
      <c r="AW60" s="104"/>
    </row>
    <row r="61" spans="2:49" s="53" customFormat="1" x14ac:dyDescent="0.25">
      <c r="B61" s="57" t="s">
        <v>81</v>
      </c>
      <c r="D61" s="57">
        <f t="shared" ref="D61" si="123">+D57+D59</f>
        <v>409.98145439907904</v>
      </c>
      <c r="E61" s="57">
        <f t="shared" ref="E61:F61" si="124">+E57+E59</f>
        <v>473.62941249930475</v>
      </c>
      <c r="F61" s="57">
        <f t="shared" si="124"/>
        <v>512.82264788828422</v>
      </c>
      <c r="G61" s="57">
        <f t="shared" ref="G61" si="125">+G57+G59</f>
        <v>856.46354224348715</v>
      </c>
      <c r="H61" s="57">
        <f t="shared" ref="H61:I61" si="126">+H57+H59</f>
        <v>724.8899665038191</v>
      </c>
      <c r="I61" s="57">
        <f t="shared" si="126"/>
        <v>603.49513994773019</v>
      </c>
      <c r="J61" s="57">
        <f t="shared" ref="J61:M61" si="127">+J57+J59</f>
        <v>502.33089276371948</v>
      </c>
      <c r="K61" s="57">
        <f t="shared" si="127"/>
        <v>466.1413423266921</v>
      </c>
      <c r="L61" s="57">
        <f t="shared" si="127"/>
        <v>497.85632751677326</v>
      </c>
      <c r="M61" s="57">
        <f t="shared" si="127"/>
        <v>464.75292854422918</v>
      </c>
      <c r="N61" s="57">
        <f t="shared" ref="N61:U61" si="128">+N57+N59</f>
        <v>350.56578540195119</v>
      </c>
      <c r="O61" s="57">
        <f t="shared" si="128"/>
        <v>502.24893873420046</v>
      </c>
      <c r="P61" s="57">
        <f t="shared" si="128"/>
        <v>392.76809818043415</v>
      </c>
      <c r="Q61" s="57">
        <f t="shared" si="128"/>
        <v>303.02472450775298</v>
      </c>
      <c r="R61" s="57">
        <f t="shared" si="128"/>
        <v>297.08274816983118</v>
      </c>
      <c r="S61" s="57">
        <f t="shared" si="128"/>
        <v>250.40782118797063</v>
      </c>
      <c r="T61" s="57">
        <f t="shared" si="128"/>
        <v>212.19506018023992</v>
      </c>
      <c r="U61" s="57">
        <f t="shared" si="128"/>
        <v>313.43993797062728</v>
      </c>
      <c r="V61" s="57">
        <f t="shared" ref="V61:AA61" si="129">+V57+V59</f>
        <v>300.88868701296167</v>
      </c>
      <c r="W61" s="57">
        <f t="shared" si="129"/>
        <v>423.03585316182432</v>
      </c>
      <c r="X61" s="57">
        <f t="shared" si="129"/>
        <v>330.12590001001172</v>
      </c>
      <c r="Y61" s="57">
        <f t="shared" si="129"/>
        <v>416.90719156744569</v>
      </c>
      <c r="Z61" s="57">
        <f t="shared" si="129"/>
        <v>390.04245462974274</v>
      </c>
      <c r="AA61" s="57">
        <f t="shared" si="129"/>
        <v>358.35556731078003</v>
      </c>
      <c r="AB61" s="57">
        <f>+AB57+AB59</f>
        <v>370.49851219836444</v>
      </c>
      <c r="AC61" s="57">
        <f>+AC57+AC59</f>
        <v>367.65830625036733</v>
      </c>
      <c r="AD61" s="57">
        <f>+AD57+AD59</f>
        <v>227.61771278324287</v>
      </c>
      <c r="AE61" s="57">
        <f>+AE57+AE59</f>
        <v>341.51571745049489</v>
      </c>
      <c r="AF61" s="57">
        <f>+AF57+AF59</f>
        <v>349.41737284653453</v>
      </c>
      <c r="AG61" s="57">
        <f>+AG57+AG59+0.04</f>
        <v>372.95645355382163</v>
      </c>
      <c r="AH61" s="64"/>
      <c r="AI61" s="57">
        <f t="shared" ref="AI61" si="130">+AI57+AI59</f>
        <v>2697.6712965833203</v>
      </c>
      <c r="AJ61" s="57">
        <f t="shared" ref="AJ61:AO61" si="131">+AJ57+AJ59</f>
        <v>1931.0814911514096</v>
      </c>
      <c r="AK61" s="57">
        <f t="shared" si="131"/>
        <v>1548.6075468243396</v>
      </c>
      <c r="AL61" s="57">
        <f t="shared" si="131"/>
        <v>1073.1255675086691</v>
      </c>
      <c r="AM61" s="57">
        <f t="shared" si="131"/>
        <v>1470.9576317522428</v>
      </c>
      <c r="AN61" s="57">
        <f t="shared" si="131"/>
        <v>1486.5548403892556</v>
      </c>
      <c r="AO61" s="57">
        <f t="shared" si="131"/>
        <v>1291.467256634091</v>
      </c>
      <c r="AP61" s="57">
        <f t="shared" ref="AP61:AQ61" si="132">+AP57+AP59</f>
        <v>1651.6644675592722</v>
      </c>
      <c r="AQ61" s="57">
        <f t="shared" si="132"/>
        <v>1417.7596968138184</v>
      </c>
      <c r="AR61" s="65"/>
      <c r="AS61" s="105"/>
      <c r="AT61" s="105"/>
      <c r="AU61" s="105"/>
      <c r="AV61" s="105"/>
      <c r="AW61" s="105"/>
    </row>
    <row r="62" spans="2:49" hidden="1" outlineLevel="1" x14ac:dyDescent="0.25">
      <c r="AN62" s="104">
        <f>+AN52-'Consolidated Income Statement'!AI13/1000</f>
        <v>-5.4814518080092967E-7</v>
      </c>
      <c r="AO62" s="104">
        <f>+AO52-'Consolidated Income Statement'!AJ13/1000</f>
        <v>-7.2691818786552176E-6</v>
      </c>
      <c r="AP62" s="104">
        <f>+AP52-'Consolidated Income Statement'!AK13/1000</f>
        <v>8.2088952694903128E-5</v>
      </c>
      <c r="AQ62" s="104">
        <f>+AQ52-'Consolidated Income Statement'!AL13/1000</f>
        <v>-6.8692280365212355E-5</v>
      </c>
      <c r="AR62" s="3" t="s">
        <v>112</v>
      </c>
    </row>
    <row r="63" spans="2:49" hidden="1" outlineLevel="1" x14ac:dyDescent="0.25">
      <c r="AN63" s="104">
        <f>+AN53-'Consolidated Income Statement'!AI14/1000</f>
        <v>0</v>
      </c>
      <c r="AO63" s="104">
        <f>+AO53-'Consolidated Income Statement'!AJ14/1000</f>
        <v>0</v>
      </c>
      <c r="AP63" s="104">
        <f>+AP53-'Consolidated Income Statement'!AK14/1000</f>
        <v>2.1691988701604714E-2</v>
      </c>
      <c r="AQ63" s="104">
        <f>+AQ53-'Consolidated Income Statement'!AL14/1000</f>
        <v>6.5103547967737541E-5</v>
      </c>
      <c r="AR63" s="3" t="s">
        <v>112</v>
      </c>
    </row>
    <row r="64" spans="2:49" hidden="1" outlineLevel="1" x14ac:dyDescent="0.25">
      <c r="AN64" s="104">
        <f>+AN54-'Consolidated Income Statement'!AI17/1000</f>
        <v>0</v>
      </c>
      <c r="AO64" s="104">
        <f>+AO54-'Consolidated Income Statement'!AJ17/1000</f>
        <v>0</v>
      </c>
      <c r="AP64" s="104">
        <f>+AP54-'Consolidated Income Statement'!AK17/1000</f>
        <v>0</v>
      </c>
      <c r="AQ64" s="104">
        <f>+AQ54-'Consolidated Income Statement'!AL17/1000</f>
        <v>0</v>
      </c>
      <c r="AR64" s="3" t="s">
        <v>112</v>
      </c>
    </row>
    <row r="65" spans="40:44" hidden="1" outlineLevel="1" x14ac:dyDescent="0.25">
      <c r="AN65" s="104">
        <f>+AN55-'Consolidated Income Statement'!AI18/1000</f>
        <v>0</v>
      </c>
      <c r="AO65" s="104">
        <f>+AO55-'Consolidated Income Statement'!AJ18/1000</f>
        <v>0</v>
      </c>
      <c r="AP65" s="104">
        <f>+AP55-'Consolidated Income Statement'!AK18/1000</f>
        <v>0</v>
      </c>
      <c r="AQ65" s="104">
        <f>+AQ55-'Consolidated Income Statement'!AL18/1000</f>
        <v>0</v>
      </c>
      <c r="AR65" s="3" t="s">
        <v>112</v>
      </c>
    </row>
    <row r="66" spans="40:44" hidden="1" outlineLevel="1" x14ac:dyDescent="0.25">
      <c r="AN66" s="104">
        <f>+AN57-'Consolidated Income Statement'!AI20/1000</f>
        <v>-5.4814472605357878E-7</v>
      </c>
      <c r="AO66" s="104">
        <f>+AO57-'Consolidated Income Statement'!AJ20/1000</f>
        <v>-7.2691811965341913E-6</v>
      </c>
      <c r="AP66" s="104">
        <f>+AP57-'Consolidated Income Statement'!AK20/1000</f>
        <v>2.2774077654503344E-2</v>
      </c>
      <c r="AQ66" s="104">
        <f>+AQ57-'Consolidated Income Statement'!AL20/1000</f>
        <v>-3.5887319427274633E-6</v>
      </c>
      <c r="AR66" s="3" t="s">
        <v>112</v>
      </c>
    </row>
    <row r="67" spans="40:44" hidden="1" outlineLevel="1" x14ac:dyDescent="0.25">
      <c r="AN67" s="104"/>
      <c r="AO67" s="104"/>
      <c r="AP67" s="104"/>
      <c r="AQ67" s="104"/>
    </row>
    <row r="68" spans="40:44" hidden="1" outlineLevel="1" x14ac:dyDescent="0.25">
      <c r="AN68" s="104" t="e">
        <f>+AN59-#REF!/1000</f>
        <v>#REF!</v>
      </c>
      <c r="AO68" s="104" t="e">
        <f>+AO59-#REF!/1000</f>
        <v>#REF!</v>
      </c>
      <c r="AP68" s="104" t="e">
        <f>+AP59-#REF!/1000</f>
        <v>#REF!</v>
      </c>
      <c r="AQ68" s="104" t="e">
        <f>+AQ59-#REF!/1000</f>
        <v>#REF!</v>
      </c>
      <c r="AR68" s="3" t="s">
        <v>113</v>
      </c>
    </row>
    <row r="69" spans="40:44" hidden="1" outlineLevel="1" x14ac:dyDescent="0.25"/>
    <row r="70" spans="40:44" collapsed="1" x14ac:dyDescent="0.25"/>
  </sheetData>
  <pageMargins left="0.7" right="0.7" top="0.75" bottom="0.75" header="0.3" footer="0.3"/>
  <pageSetup scale="37" orientation="portrait" r:id="rId1"/>
  <colBreaks count="1" manualBreakCount="1">
    <brk id="33" max="58" man="1"/>
  </colBreaks>
  <ignoredErrors>
    <ignoredError sqref="AB1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Q44"/>
  <sheetViews>
    <sheetView showGridLines="0" zoomScale="85" zoomScaleNormal="85" zoomScaleSheetLayoutView="80" workbookViewId="0"/>
  </sheetViews>
  <sheetFormatPr baseColWidth="10" defaultColWidth="9.140625" defaultRowHeight="15" x14ac:dyDescent="0.25"/>
  <cols>
    <col min="1" max="1" width="35.140625" style="3" customWidth="1"/>
    <col min="2" max="2" width="2.7109375" style="3" customWidth="1"/>
    <col min="3" max="16" width="9.42578125" style="3" customWidth="1"/>
    <col min="17" max="20" width="9.42578125" style="122" customWidth="1"/>
    <col min="21" max="33" width="9.42578125" style="3" customWidth="1"/>
    <col min="34" max="34" width="2.85546875" style="3" customWidth="1"/>
    <col min="35" max="37" width="11.42578125" style="3" customWidth="1"/>
    <col min="38" max="39" width="11.42578125" style="122" customWidth="1"/>
    <col min="40" max="43" width="9.140625" style="122"/>
    <col min="44" max="16384" width="9.140625" style="3"/>
  </cols>
  <sheetData>
    <row r="1" spans="1:43" ht="15.75" x14ac:dyDescent="0.25">
      <c r="A1" s="1" t="s">
        <v>85</v>
      </c>
      <c r="B1" s="2"/>
      <c r="AD1" s="4"/>
      <c r="AE1" s="4"/>
      <c r="AF1" s="4"/>
      <c r="AG1" s="4"/>
    </row>
    <row r="2" spans="1:43" ht="15.75" x14ac:dyDescent="0.25">
      <c r="A2" s="1"/>
      <c r="B2" s="2"/>
      <c r="AD2" s="4"/>
      <c r="AE2" s="4"/>
      <c r="AF2" s="4"/>
      <c r="AG2" s="4"/>
    </row>
    <row r="4" spans="1:43" x14ac:dyDescent="0.25">
      <c r="A4" s="103" t="s">
        <v>86</v>
      </c>
      <c r="B4" s="8"/>
      <c r="U4" s="103"/>
      <c r="V4" s="103"/>
      <c r="W4" s="103"/>
      <c r="X4" s="103"/>
      <c r="Y4" s="103"/>
      <c r="Z4" s="103"/>
      <c r="AA4" s="103"/>
      <c r="AB4" s="103"/>
      <c r="AC4" s="103"/>
      <c r="AD4" s="103"/>
      <c r="AE4" s="103"/>
      <c r="AF4" s="103"/>
      <c r="AG4" s="8"/>
      <c r="AH4" s="103"/>
      <c r="AM4" s="131"/>
    </row>
    <row r="5" spans="1:43" x14ac:dyDescent="0.25">
      <c r="A5" s="68" t="s">
        <v>87</v>
      </c>
      <c r="C5" s="168" t="s">
        <v>185</v>
      </c>
      <c r="D5" s="168" t="s">
        <v>188</v>
      </c>
      <c r="E5" s="46" t="s">
        <v>174</v>
      </c>
      <c r="F5" s="46" t="s">
        <v>191</v>
      </c>
      <c r="G5" s="46" t="s">
        <v>192</v>
      </c>
      <c r="H5" s="46" t="s">
        <v>193</v>
      </c>
      <c r="I5" s="46" t="s">
        <v>155</v>
      </c>
      <c r="J5" s="46" t="s">
        <v>154</v>
      </c>
      <c r="K5" s="46" t="s">
        <v>153</v>
      </c>
      <c r="L5" s="46" t="s">
        <v>152</v>
      </c>
      <c r="M5" s="46" t="s">
        <v>138</v>
      </c>
      <c r="N5" s="46" t="s">
        <v>139</v>
      </c>
      <c r="O5" s="46" t="s">
        <v>140</v>
      </c>
      <c r="P5" s="46" t="s">
        <v>141</v>
      </c>
      <c r="Q5" s="123" t="s">
        <v>120</v>
      </c>
      <c r="R5" s="123" t="s">
        <v>121</v>
      </c>
      <c r="S5" s="123" t="s">
        <v>122</v>
      </c>
      <c r="T5" s="123" t="s">
        <v>123</v>
      </c>
      <c r="U5" s="46" t="s">
        <v>103</v>
      </c>
      <c r="V5" s="46" t="s">
        <v>104</v>
      </c>
      <c r="W5" s="46" t="s">
        <v>105</v>
      </c>
      <c r="X5" s="46" t="s">
        <v>102</v>
      </c>
      <c r="Y5" s="47" t="s">
        <v>99</v>
      </c>
      <c r="Z5" s="47" t="s">
        <v>4</v>
      </c>
      <c r="AA5" s="47" t="s">
        <v>5</v>
      </c>
      <c r="AB5" s="47" t="s">
        <v>6</v>
      </c>
      <c r="AC5" s="47" t="s">
        <v>73</v>
      </c>
      <c r="AD5" s="47" t="s">
        <v>74</v>
      </c>
      <c r="AE5" s="47" t="s">
        <v>75</v>
      </c>
      <c r="AF5" s="47" t="s">
        <v>76</v>
      </c>
      <c r="AG5" s="47" t="s">
        <v>88</v>
      </c>
      <c r="AH5" s="69"/>
      <c r="AI5" s="70">
        <v>2018</v>
      </c>
      <c r="AJ5" s="70">
        <v>2017</v>
      </c>
      <c r="AK5" s="70">
        <v>2016</v>
      </c>
      <c r="AL5" s="70">
        <v>2015</v>
      </c>
      <c r="AM5" s="70">
        <v>2014</v>
      </c>
      <c r="AN5" s="70">
        <v>2013</v>
      </c>
      <c r="AO5" s="70">
        <v>2012</v>
      </c>
      <c r="AP5" s="70">
        <v>2011</v>
      </c>
      <c r="AQ5" s="70">
        <v>2010</v>
      </c>
    </row>
    <row r="6" spans="1:43" x14ac:dyDescent="0.25">
      <c r="A6" s="71"/>
      <c r="C6" s="72"/>
      <c r="D6" s="72"/>
      <c r="E6" s="72"/>
      <c r="F6" s="72"/>
      <c r="G6" s="72"/>
      <c r="H6" s="72"/>
      <c r="I6" s="72"/>
      <c r="J6" s="72"/>
      <c r="K6" s="72"/>
      <c r="L6" s="72"/>
      <c r="M6" s="72"/>
      <c r="N6" s="72"/>
      <c r="O6" s="72"/>
      <c r="P6" s="72"/>
      <c r="Q6" s="124"/>
      <c r="R6" s="124"/>
      <c r="S6" s="124"/>
      <c r="T6" s="124"/>
      <c r="U6" s="72"/>
      <c r="V6" s="72"/>
      <c r="W6" s="72"/>
      <c r="X6" s="72"/>
      <c r="Y6" s="72"/>
      <c r="Z6" s="72"/>
      <c r="AA6" s="72"/>
      <c r="AB6" s="72"/>
      <c r="AC6" s="72"/>
      <c r="AD6" s="72"/>
      <c r="AE6" s="72"/>
      <c r="AF6" s="72"/>
      <c r="AG6" s="72"/>
      <c r="AH6" s="73"/>
      <c r="AI6" s="72"/>
      <c r="AJ6" s="72"/>
      <c r="AK6" s="72"/>
      <c r="AL6" s="124"/>
      <c r="AM6" s="124"/>
      <c r="AN6" s="124"/>
      <c r="AO6" s="124"/>
      <c r="AP6" s="124"/>
      <c r="AQ6" s="124"/>
    </row>
    <row r="7" spans="1:43" x14ac:dyDescent="0.25">
      <c r="A7" s="74" t="s">
        <v>89</v>
      </c>
      <c r="C7" s="75">
        <v>1569.2554500180124</v>
      </c>
      <c r="D7" s="75">
        <v>1563.4374954379916</v>
      </c>
      <c r="E7" s="75">
        <v>1523.3523102667114</v>
      </c>
      <c r="F7" s="75">
        <v>1525.2414385235543</v>
      </c>
      <c r="G7" s="75">
        <v>1721.7168502200395</v>
      </c>
      <c r="H7" s="75">
        <v>1774.5253837100015</v>
      </c>
      <c r="I7" s="75">
        <v>1614.3961935100033</v>
      </c>
      <c r="J7" s="75">
        <v>1625.0168029700017</v>
      </c>
      <c r="K7" s="75">
        <v>1720.4105343099995</v>
      </c>
      <c r="L7" s="75">
        <v>1663.0191540700005</v>
      </c>
      <c r="M7" s="75">
        <v>1524.8499994100009</v>
      </c>
      <c r="N7" s="75">
        <v>1529.4328094900013</v>
      </c>
      <c r="O7" s="75">
        <v>1754.2390741999991</v>
      </c>
      <c r="P7" s="75">
        <v>1596.6369907499991</v>
      </c>
      <c r="Q7" s="125">
        <v>1406.7173717199996</v>
      </c>
      <c r="R7" s="125">
        <v>1532.9436778200009</v>
      </c>
      <c r="S7" s="125">
        <v>1457.7407901799991</v>
      </c>
      <c r="T7" s="125">
        <v>1535.9916071100004</v>
      </c>
      <c r="U7" s="75">
        <v>1425.3107185800006</v>
      </c>
      <c r="V7" s="75">
        <v>1380.5317244300015</v>
      </c>
      <c r="W7" s="75">
        <v>1411.1529071500011</v>
      </c>
      <c r="X7" s="75">
        <v>1415.1614133199998</v>
      </c>
      <c r="Y7" s="75">
        <v>1274.5840917700002</v>
      </c>
      <c r="Z7" s="75">
        <v>1269.74646534</v>
      </c>
      <c r="AA7" s="75">
        <v>1191.4350553900003</v>
      </c>
      <c r="AB7" s="75">
        <v>1249.1533069699999</v>
      </c>
      <c r="AC7" s="75">
        <v>1219.7013782950007</v>
      </c>
      <c r="AD7" s="75">
        <v>1276.0354395110012</v>
      </c>
      <c r="AE7" s="75">
        <v>1222.6462602699999</v>
      </c>
      <c r="AF7" s="75">
        <v>1234.0489683669998</v>
      </c>
      <c r="AG7" s="75">
        <v>1182.1800282799998</v>
      </c>
      <c r="AH7" s="76"/>
      <c r="AI7" s="75">
        <v>6544.8359827203067</v>
      </c>
      <c r="AJ7" s="75">
        <v>6622.8426848600047</v>
      </c>
      <c r="AK7" s="75">
        <v>6405.1588738500004</v>
      </c>
      <c r="AL7" s="125">
        <v>5933.3934468299994</v>
      </c>
      <c r="AM7" s="125">
        <v>5632.1567634800031</v>
      </c>
      <c r="AN7" s="132">
        <v>4984.9189194700011</v>
      </c>
      <c r="AO7" s="132">
        <v>4952.432046443002</v>
      </c>
      <c r="AP7" s="132">
        <v>4683.2002833080005</v>
      </c>
      <c r="AQ7" s="132">
        <v>4466.9075885889961</v>
      </c>
    </row>
    <row r="8" spans="1:43" x14ac:dyDescent="0.25">
      <c r="A8" s="74" t="s">
        <v>90</v>
      </c>
      <c r="C8" s="75">
        <v>507.77982199999991</v>
      </c>
      <c r="D8" s="75">
        <v>442.26259600000014</v>
      </c>
      <c r="E8" s="75">
        <v>505.09167099999979</v>
      </c>
      <c r="F8" s="75">
        <v>546.45999802105518</v>
      </c>
      <c r="G8" s="75">
        <v>604.15624300000036</v>
      </c>
      <c r="H8" s="75">
        <v>645.34325099999887</v>
      </c>
      <c r="I8" s="75">
        <v>645.16068500000097</v>
      </c>
      <c r="J8" s="75">
        <v>666.32602000000043</v>
      </c>
      <c r="K8" s="75">
        <v>599.41778000000011</v>
      </c>
      <c r="L8" s="75">
        <v>545.07771299999979</v>
      </c>
      <c r="M8" s="75">
        <v>577.50655600000005</v>
      </c>
      <c r="N8" s="75">
        <v>535.27643199999977</v>
      </c>
      <c r="O8" s="75">
        <v>548.96125999999936</v>
      </c>
      <c r="P8" s="75">
        <v>559.04107299999998</v>
      </c>
      <c r="Q8" s="125">
        <v>643.57469400000082</v>
      </c>
      <c r="R8" s="125">
        <v>641.38462800000082</v>
      </c>
      <c r="S8" s="125">
        <v>644.57210199999497</v>
      </c>
      <c r="T8" s="125">
        <v>622.70894099999998</v>
      </c>
      <c r="U8" s="75">
        <v>640.83765399999959</v>
      </c>
      <c r="V8" s="75">
        <v>624.89357199999995</v>
      </c>
      <c r="W8" s="75">
        <v>632.48790099999951</v>
      </c>
      <c r="X8" s="75">
        <v>612.6606380000004</v>
      </c>
      <c r="Y8" s="75">
        <v>672.80052797999963</v>
      </c>
      <c r="Z8" s="75">
        <v>689.00591300000042</v>
      </c>
      <c r="AA8" s="75">
        <v>662.55539499999986</v>
      </c>
      <c r="AB8" s="75">
        <v>608.77241600000013</v>
      </c>
      <c r="AC8" s="75">
        <v>597.65187300000161</v>
      </c>
      <c r="AD8" s="75">
        <v>625.90818299999989</v>
      </c>
      <c r="AE8" s="75">
        <v>624.11534900000038</v>
      </c>
      <c r="AF8" s="75">
        <v>596.83923899999991</v>
      </c>
      <c r="AG8" s="75">
        <v>676.32685100000037</v>
      </c>
      <c r="AH8" s="77"/>
      <c r="AI8" s="75">
        <v>2301.051163021054</v>
      </c>
      <c r="AJ8" s="75">
        <v>2455.9821980000015</v>
      </c>
      <c r="AK8" s="75">
        <v>2220.7853209999994</v>
      </c>
      <c r="AL8" s="125">
        <v>2552.2403649999965</v>
      </c>
      <c r="AM8" s="125">
        <v>2510.8797649999992</v>
      </c>
      <c r="AN8" s="132">
        <v>2633.13425198</v>
      </c>
      <c r="AO8" s="132">
        <v>2444.5146440000017</v>
      </c>
      <c r="AP8" s="132">
        <v>2635.3281059999999</v>
      </c>
      <c r="AQ8" s="132">
        <v>2396.3672970000007</v>
      </c>
    </row>
    <row r="9" spans="1:43" x14ac:dyDescent="0.25">
      <c r="A9" s="74" t="s">
        <v>91</v>
      </c>
      <c r="C9" s="75">
        <v>1255.6619997605512</v>
      </c>
      <c r="D9" s="75">
        <v>1198.839936678507</v>
      </c>
      <c r="E9" s="75">
        <v>935.16783297536324</v>
      </c>
      <c r="F9" s="75">
        <v>1071.2806267222927</v>
      </c>
      <c r="G9" s="75">
        <v>995.77685812556194</v>
      </c>
      <c r="H9" s="75">
        <v>1102.9631674237021</v>
      </c>
      <c r="I9" s="75">
        <v>1151.2071055081947</v>
      </c>
      <c r="J9" s="75">
        <v>778.82684822483259</v>
      </c>
      <c r="K9" s="75">
        <v>320.99040304138981</v>
      </c>
      <c r="L9" s="75">
        <v>266.72011806925281</v>
      </c>
      <c r="M9" s="75">
        <v>275.59887208971901</v>
      </c>
      <c r="N9" s="75">
        <v>283.1498238325475</v>
      </c>
      <c r="O9" s="75">
        <v>304.52054321240382</v>
      </c>
      <c r="P9" s="75">
        <v>274.83357175248597</v>
      </c>
      <c r="Q9" s="125">
        <v>259.30150176084283</v>
      </c>
      <c r="R9" s="125">
        <v>288.24485526980857</v>
      </c>
      <c r="S9" s="125">
        <v>294.9354745778374</v>
      </c>
      <c r="T9" s="125">
        <v>272.15099839793442</v>
      </c>
      <c r="U9" s="75">
        <v>287.96790680304821</v>
      </c>
      <c r="V9" s="75">
        <v>329.95124222911431</v>
      </c>
      <c r="W9" s="75">
        <v>313.12305248167553</v>
      </c>
      <c r="X9" s="75">
        <v>307.4122180454068</v>
      </c>
      <c r="Y9" s="75">
        <v>284.91614734336389</v>
      </c>
      <c r="Z9" s="75">
        <v>343.02836547787837</v>
      </c>
      <c r="AA9" s="75">
        <v>358.93022278617406</v>
      </c>
      <c r="AB9" s="75">
        <v>383.45451609779286</v>
      </c>
      <c r="AC9" s="75">
        <v>350.82952625175147</v>
      </c>
      <c r="AD9" s="75">
        <v>362.60255189892985</v>
      </c>
      <c r="AE9" s="75">
        <v>326.50038712272334</v>
      </c>
      <c r="AF9" s="75">
        <v>331.31599626255331</v>
      </c>
      <c r="AG9" s="75">
        <v>295.36328550331422</v>
      </c>
      <c r="AH9" s="76"/>
      <c r="AI9" s="75">
        <v>4105.1884852469202</v>
      </c>
      <c r="AJ9" s="75">
        <v>2517.7444748436701</v>
      </c>
      <c r="AK9" s="75">
        <v>1138.1028108871562</v>
      </c>
      <c r="AL9" s="125">
        <v>1114.6328300064233</v>
      </c>
      <c r="AM9" s="125">
        <v>1238.4544195592448</v>
      </c>
      <c r="AN9" s="132">
        <v>1370.3292517052093</v>
      </c>
      <c r="AO9" s="132">
        <v>1371.2484615359579</v>
      </c>
      <c r="AP9" s="132">
        <v>1505.0292319729444</v>
      </c>
      <c r="AQ9" s="132">
        <v>1191.3097360637448</v>
      </c>
    </row>
    <row r="10" spans="1:43" x14ac:dyDescent="0.25">
      <c r="A10" s="77" t="s">
        <v>92</v>
      </c>
      <c r="C10" s="78">
        <f t="shared" ref="C10" si="0">+SUM(C7:C9)</f>
        <v>3332.6972717785634</v>
      </c>
      <c r="D10" s="78">
        <f t="shared" ref="D10" si="1">+SUM(D7:D9)</f>
        <v>3204.5400281164989</v>
      </c>
      <c r="E10" s="78">
        <f t="shared" ref="E10" si="2">+SUM(E7:E9)</f>
        <v>2963.6118142420742</v>
      </c>
      <c r="F10" s="78">
        <f t="shared" ref="F10" si="3">+SUM(F7:F9)</f>
        <v>3142.9820632669021</v>
      </c>
      <c r="G10" s="78">
        <f t="shared" ref="G10:H10" si="4">+SUM(G7:G9)</f>
        <v>3321.6499513456015</v>
      </c>
      <c r="H10" s="78">
        <f t="shared" si="4"/>
        <v>3522.8318021337022</v>
      </c>
      <c r="I10" s="78">
        <f t="shared" ref="I10:L10" si="5">+SUM(I7:I9)</f>
        <v>3410.7639840181987</v>
      </c>
      <c r="J10" s="78">
        <f t="shared" si="5"/>
        <v>3070.1696711948348</v>
      </c>
      <c r="K10" s="78">
        <f t="shared" si="5"/>
        <v>2640.8187173513898</v>
      </c>
      <c r="L10" s="78">
        <f t="shared" si="5"/>
        <v>2474.8169851392531</v>
      </c>
      <c r="M10" s="78">
        <f t="shared" ref="M10:T10" si="6">+SUM(M7:M9)</f>
        <v>2377.9554274997199</v>
      </c>
      <c r="N10" s="78">
        <f t="shared" si="6"/>
        <v>2347.8590653225488</v>
      </c>
      <c r="O10" s="78">
        <f t="shared" si="6"/>
        <v>2607.7208774124024</v>
      </c>
      <c r="P10" s="78">
        <f t="shared" si="6"/>
        <v>2430.5116355024852</v>
      </c>
      <c r="Q10" s="126">
        <f>+SUM(Q7:Q9)</f>
        <v>2309.5935674808429</v>
      </c>
      <c r="R10" s="126">
        <f t="shared" si="6"/>
        <v>2462.5731610898101</v>
      </c>
      <c r="S10" s="126">
        <f t="shared" si="6"/>
        <v>2397.2483667578313</v>
      </c>
      <c r="T10" s="126">
        <f t="shared" si="6"/>
        <v>2430.8515465079349</v>
      </c>
      <c r="U10" s="78">
        <f t="shared" ref="U10:Z10" si="7">+SUM(U7:U9)</f>
        <v>2354.1162793830485</v>
      </c>
      <c r="V10" s="78">
        <f t="shared" si="7"/>
        <v>2335.3765386591158</v>
      </c>
      <c r="W10" s="78">
        <f t="shared" si="7"/>
        <v>2356.7638606316759</v>
      </c>
      <c r="X10" s="78">
        <f t="shared" si="7"/>
        <v>2335.2342693654073</v>
      </c>
      <c r="Y10" s="78">
        <f t="shared" si="7"/>
        <v>2232.3007670933634</v>
      </c>
      <c r="Z10" s="78">
        <f t="shared" si="7"/>
        <v>2301.7807438178788</v>
      </c>
      <c r="AA10" s="78">
        <f t="shared" ref="AA10:AG10" si="8">+SUM(AA7:AA9)</f>
        <v>2212.9206731761742</v>
      </c>
      <c r="AB10" s="78">
        <f t="shared" si="8"/>
        <v>2241.3802390677929</v>
      </c>
      <c r="AC10" s="78">
        <f t="shared" si="8"/>
        <v>2168.1827775467536</v>
      </c>
      <c r="AD10" s="78">
        <f t="shared" si="8"/>
        <v>2264.5461744099312</v>
      </c>
      <c r="AE10" s="78">
        <f t="shared" si="8"/>
        <v>2173.2619963927236</v>
      </c>
      <c r="AF10" s="78">
        <f t="shared" si="8"/>
        <v>2162.2042036295529</v>
      </c>
      <c r="AG10" s="78">
        <f t="shared" si="8"/>
        <v>2153.8701647833145</v>
      </c>
      <c r="AH10" s="77"/>
      <c r="AI10" s="78">
        <f>+SUM(AI7:AI9)</f>
        <v>12951.075630988282</v>
      </c>
      <c r="AJ10" s="78">
        <f t="shared" ref="AJ10:AK10" si="9">+SUM(AJ7:AJ9)</f>
        <v>11596.569357703676</v>
      </c>
      <c r="AK10" s="78">
        <f t="shared" si="9"/>
        <v>9764.0470057371549</v>
      </c>
      <c r="AL10" s="126">
        <f t="shared" ref="AL10:AQ10" si="10">+SUM(AL7:AL9)</f>
        <v>9600.2666418364188</v>
      </c>
      <c r="AM10" s="126">
        <f t="shared" si="10"/>
        <v>9381.4909480392471</v>
      </c>
      <c r="AN10" s="133">
        <f t="shared" si="10"/>
        <v>8988.3824231552098</v>
      </c>
      <c r="AO10" s="133">
        <f t="shared" si="10"/>
        <v>8768.1951519789618</v>
      </c>
      <c r="AP10" s="133">
        <f t="shared" si="10"/>
        <v>8823.5576212809447</v>
      </c>
      <c r="AQ10" s="133">
        <f t="shared" si="10"/>
        <v>8054.5846216527416</v>
      </c>
    </row>
    <row r="11" spans="1:43" x14ac:dyDescent="0.25">
      <c r="A11" s="77"/>
      <c r="C11" s="75"/>
      <c r="D11" s="75"/>
      <c r="E11" s="75"/>
      <c r="F11" s="75"/>
      <c r="G11" s="75"/>
      <c r="H11" s="75"/>
      <c r="I11" s="75"/>
      <c r="J11" s="75"/>
      <c r="K11" s="75"/>
      <c r="L11" s="75"/>
      <c r="M11" s="75"/>
      <c r="N11" s="75"/>
      <c r="O11" s="75"/>
      <c r="P11" s="75"/>
      <c r="Q11" s="125"/>
      <c r="R11" s="125"/>
      <c r="S11" s="125"/>
      <c r="T11" s="125"/>
      <c r="U11" s="75"/>
      <c r="V11" s="75"/>
      <c r="W11" s="75"/>
      <c r="X11" s="75"/>
      <c r="Y11" s="75"/>
      <c r="Z11" s="75"/>
      <c r="AA11" s="75"/>
      <c r="AB11" s="75"/>
      <c r="AC11" s="75"/>
      <c r="AD11" s="75"/>
      <c r="AE11" s="75"/>
      <c r="AF11" s="75"/>
      <c r="AG11" s="75"/>
      <c r="AH11" s="77"/>
      <c r="AI11" s="75"/>
      <c r="AJ11" s="75"/>
      <c r="AK11" s="75"/>
      <c r="AL11" s="125"/>
      <c r="AM11" s="125"/>
      <c r="AN11" s="132"/>
      <c r="AO11" s="132"/>
      <c r="AP11" s="132"/>
      <c r="AQ11" s="132"/>
    </row>
    <row r="12" spans="1:43" x14ac:dyDescent="0.25">
      <c r="A12" s="77" t="s">
        <v>93</v>
      </c>
      <c r="C12" s="75">
        <v>835.10420000000011</v>
      </c>
      <c r="D12" s="75">
        <v>919.88425999999993</v>
      </c>
      <c r="E12" s="75">
        <v>856.935653</v>
      </c>
      <c r="F12" s="75">
        <v>914.47944800000005</v>
      </c>
      <c r="G12" s="75">
        <v>915.56682599999988</v>
      </c>
      <c r="H12" s="75">
        <v>929.28598899999997</v>
      </c>
      <c r="I12" s="75">
        <v>874.84336300000007</v>
      </c>
      <c r="J12" s="75">
        <v>938.32546200000002</v>
      </c>
      <c r="K12" s="75">
        <v>874.50741500000004</v>
      </c>
      <c r="L12" s="75">
        <v>863.43313799999987</v>
      </c>
      <c r="M12" s="75">
        <v>855.49578199999996</v>
      </c>
      <c r="N12" s="75">
        <v>808.33704199999988</v>
      </c>
      <c r="O12" s="75">
        <v>811.36075800000015</v>
      </c>
      <c r="P12" s="75">
        <v>834.40240200000005</v>
      </c>
      <c r="Q12" s="125">
        <v>906.12290299999984</v>
      </c>
      <c r="R12" s="125">
        <v>891.54297399999984</v>
      </c>
      <c r="S12" s="125">
        <v>873.38667899999984</v>
      </c>
      <c r="T12" s="125">
        <v>964.55950199999995</v>
      </c>
      <c r="U12" s="75">
        <v>1021.9187589999999</v>
      </c>
      <c r="V12" s="75">
        <v>1006.577536</v>
      </c>
      <c r="W12" s="75">
        <v>944.37648000000002</v>
      </c>
      <c r="X12" s="75">
        <v>884.39236000000017</v>
      </c>
      <c r="Y12" s="75">
        <v>994.09475699999996</v>
      </c>
      <c r="Z12" s="75">
        <v>929.95139999999992</v>
      </c>
      <c r="AA12" s="75">
        <v>1217.6092510000001</v>
      </c>
      <c r="AB12" s="75">
        <v>1101.29981</v>
      </c>
      <c r="AC12" s="75">
        <v>496.84139300000004</v>
      </c>
      <c r="AD12" s="75">
        <v>451.21174999999999</v>
      </c>
      <c r="AE12" s="75">
        <v>461.93878000000001</v>
      </c>
      <c r="AF12" s="75">
        <v>452.64994999999993</v>
      </c>
      <c r="AG12" s="75">
        <v>466.41569500000003</v>
      </c>
      <c r="AH12" s="77"/>
      <c r="AI12" s="75">
        <v>3616.2679159999998</v>
      </c>
      <c r="AJ12" s="75">
        <v>3551.1093780000001</v>
      </c>
      <c r="AK12" s="75">
        <v>3309.595984</v>
      </c>
      <c r="AL12" s="125">
        <v>3635.6120579999997</v>
      </c>
      <c r="AM12" s="125">
        <v>3857.2651350000006</v>
      </c>
      <c r="AN12" s="132">
        <v>4242.9552180000001</v>
      </c>
      <c r="AO12" s="132">
        <v>1862.641873</v>
      </c>
      <c r="AP12" s="132">
        <v>2050.4576000000002</v>
      </c>
      <c r="AQ12" s="132">
        <v>2250.3624999999997</v>
      </c>
    </row>
    <row r="13" spans="1:43" x14ac:dyDescent="0.25">
      <c r="A13" s="77"/>
      <c r="C13" s="75"/>
      <c r="D13" s="75"/>
      <c r="E13" s="75"/>
      <c r="F13" s="75"/>
      <c r="G13" s="75"/>
      <c r="H13" s="75"/>
      <c r="I13" s="75"/>
      <c r="J13" s="75"/>
      <c r="K13" s="75"/>
      <c r="L13" s="75"/>
      <c r="M13" s="75"/>
      <c r="N13" s="75"/>
      <c r="O13" s="75"/>
      <c r="P13" s="75"/>
      <c r="Q13" s="125"/>
      <c r="R13" s="125"/>
      <c r="S13" s="125"/>
      <c r="T13" s="125"/>
      <c r="U13" s="75"/>
      <c r="V13" s="75"/>
      <c r="W13" s="75"/>
      <c r="X13" s="75"/>
      <c r="Y13" s="75"/>
      <c r="Z13" s="75"/>
      <c r="AA13" s="75"/>
      <c r="AB13" s="75"/>
      <c r="AC13" s="75"/>
      <c r="AD13" s="75"/>
      <c r="AE13" s="75"/>
      <c r="AF13" s="75"/>
      <c r="AG13" s="75"/>
      <c r="AH13" s="77"/>
      <c r="AI13" s="75"/>
      <c r="AJ13" s="75"/>
      <c r="AK13" s="75"/>
      <c r="AL13" s="125"/>
      <c r="AM13" s="125"/>
      <c r="AN13" s="125"/>
      <c r="AO13" s="125"/>
      <c r="AP13" s="125"/>
      <c r="AQ13" s="125"/>
    </row>
    <row r="14" spans="1:43" x14ac:dyDescent="0.25">
      <c r="A14" s="77"/>
      <c r="C14" s="75"/>
      <c r="D14" s="75"/>
      <c r="E14" s="75"/>
      <c r="F14" s="75"/>
      <c r="G14" s="75"/>
      <c r="H14" s="75"/>
      <c r="I14" s="75"/>
      <c r="J14" s="75"/>
      <c r="K14" s="75"/>
      <c r="L14" s="75"/>
      <c r="M14" s="75"/>
      <c r="N14" s="75"/>
      <c r="O14" s="75"/>
      <c r="P14" s="75"/>
      <c r="Q14" s="125"/>
      <c r="R14" s="125"/>
      <c r="S14" s="125"/>
      <c r="T14" s="125"/>
      <c r="U14" s="75"/>
      <c r="V14" s="75"/>
      <c r="W14" s="75"/>
      <c r="X14" s="75"/>
      <c r="Y14" s="75"/>
      <c r="Z14" s="75"/>
      <c r="AA14" s="75"/>
      <c r="AB14" s="75"/>
      <c r="AC14" s="75"/>
      <c r="AD14" s="75"/>
      <c r="AE14" s="75"/>
      <c r="AF14" s="75"/>
      <c r="AG14" s="75"/>
      <c r="AH14" s="77"/>
      <c r="AI14" s="75"/>
      <c r="AJ14" s="75"/>
      <c r="AK14" s="75"/>
      <c r="AL14" s="125"/>
      <c r="AM14" s="125"/>
      <c r="AN14" s="125"/>
      <c r="AO14" s="125"/>
      <c r="AP14" s="125"/>
      <c r="AQ14" s="125"/>
    </row>
    <row r="15" spans="1:43" x14ac:dyDescent="0.25">
      <c r="A15" s="67" t="s">
        <v>94</v>
      </c>
      <c r="C15" s="67"/>
      <c r="D15" s="67"/>
      <c r="E15" s="67"/>
      <c r="F15" s="67"/>
      <c r="G15" s="67"/>
      <c r="H15" s="67"/>
      <c r="I15" s="67"/>
      <c r="J15" s="67"/>
      <c r="K15" s="67"/>
      <c r="L15" s="67"/>
      <c r="M15" s="67"/>
      <c r="N15" s="67"/>
      <c r="O15" s="67"/>
      <c r="P15" s="67"/>
      <c r="Q15" s="127"/>
      <c r="R15" s="127"/>
      <c r="S15" s="127"/>
      <c r="T15" s="127"/>
      <c r="U15" s="67"/>
      <c r="V15" s="67"/>
      <c r="W15" s="67"/>
      <c r="X15" s="67"/>
      <c r="Y15" s="67"/>
      <c r="Z15" s="67"/>
      <c r="AA15" s="67"/>
      <c r="AB15" s="67"/>
      <c r="AC15" s="67"/>
      <c r="AD15" s="67"/>
      <c r="AE15" s="67"/>
      <c r="AF15" s="67"/>
      <c r="AG15" s="67"/>
      <c r="AH15" s="67"/>
      <c r="AI15" s="67"/>
      <c r="AJ15" s="67"/>
      <c r="AK15" s="67"/>
      <c r="AL15" s="127"/>
      <c r="AM15" s="127"/>
      <c r="AN15" s="127"/>
      <c r="AO15" s="127"/>
      <c r="AP15" s="127"/>
      <c r="AQ15" s="127"/>
    </row>
    <row r="16" spans="1:43" x14ac:dyDescent="0.25">
      <c r="A16" s="68" t="s">
        <v>95</v>
      </c>
      <c r="C16" s="46" t="str">
        <f t="shared" ref="C16" si="11">+C5</f>
        <v>2Q 2019</v>
      </c>
      <c r="D16" s="46" t="str">
        <f t="shared" ref="D16" si="12">+D5</f>
        <v>1Q2019*</v>
      </c>
      <c r="E16" s="46" t="str">
        <f t="shared" ref="E16:F16" si="13">+E5</f>
        <v>4Q2018</v>
      </c>
      <c r="F16" s="46" t="str">
        <f t="shared" si="13"/>
        <v>3Q 2018**</v>
      </c>
      <c r="G16" s="46" t="str">
        <f t="shared" ref="G16:H16" si="14">+G5</f>
        <v>2Q 2018**</v>
      </c>
      <c r="H16" s="46" t="str">
        <f t="shared" si="14"/>
        <v>1Q 2018**</v>
      </c>
      <c r="I16" s="46" t="str">
        <f t="shared" ref="I16:K16" si="15">+I5</f>
        <v>4Q 2017</v>
      </c>
      <c r="J16" s="46" t="str">
        <f t="shared" si="15"/>
        <v>3Q 2017</v>
      </c>
      <c r="K16" s="46" t="str">
        <f t="shared" si="15"/>
        <v>2Q 2017</v>
      </c>
      <c r="L16" s="46" t="str">
        <f>+L5</f>
        <v>1Q 2017</v>
      </c>
      <c r="M16" s="46" t="str">
        <f t="shared" ref="M16:O16" si="16">+M5</f>
        <v>4Q 2016</v>
      </c>
      <c r="N16" s="46" t="str">
        <f t="shared" si="16"/>
        <v>3Q 2016</v>
      </c>
      <c r="O16" s="46" t="str">
        <f t="shared" si="16"/>
        <v>2Q 2016</v>
      </c>
      <c r="P16" s="46" t="str">
        <f>+P5</f>
        <v>1Q 2016</v>
      </c>
      <c r="Q16" s="123" t="str">
        <f t="shared" ref="Q16:S16" si="17">+Q5</f>
        <v>4Q 2015</v>
      </c>
      <c r="R16" s="123" t="str">
        <f t="shared" si="17"/>
        <v>3Q 2015</v>
      </c>
      <c r="S16" s="123" t="str">
        <f t="shared" si="17"/>
        <v>2Q 2015</v>
      </c>
      <c r="T16" s="123" t="str">
        <f>+T5</f>
        <v>1Q 2015</v>
      </c>
      <c r="U16" s="46" t="s">
        <v>103</v>
      </c>
      <c r="V16" s="46" t="s">
        <v>104</v>
      </c>
      <c r="W16" s="46" t="s">
        <v>105</v>
      </c>
      <c r="X16" s="46" t="s">
        <v>102</v>
      </c>
      <c r="Y16" s="47" t="s">
        <v>99</v>
      </c>
      <c r="Z16" s="47" t="s">
        <v>4</v>
      </c>
      <c r="AA16" s="47" t="s">
        <v>5</v>
      </c>
      <c r="AB16" s="47" t="s">
        <v>6</v>
      </c>
      <c r="AC16" s="47" t="s">
        <v>73</v>
      </c>
      <c r="AD16" s="47" t="s">
        <v>74</v>
      </c>
      <c r="AE16" s="47" t="s">
        <v>75</v>
      </c>
      <c r="AF16" s="47" t="s">
        <v>76</v>
      </c>
      <c r="AG16" s="47" t="s">
        <v>88</v>
      </c>
      <c r="AH16" s="69"/>
      <c r="AI16" s="46">
        <f>+AI5</f>
        <v>2018</v>
      </c>
      <c r="AJ16" s="70">
        <f>+AJ5</f>
        <v>2017</v>
      </c>
      <c r="AK16" s="70">
        <f>+AK5</f>
        <v>2016</v>
      </c>
      <c r="AL16" s="70">
        <f>+AL5</f>
        <v>2015</v>
      </c>
      <c r="AM16" s="70">
        <f>+AM5</f>
        <v>2014</v>
      </c>
      <c r="AN16" s="70">
        <v>2013</v>
      </c>
      <c r="AO16" s="70">
        <v>2012</v>
      </c>
      <c r="AP16" s="70">
        <v>2011</v>
      </c>
      <c r="AQ16" s="70">
        <v>2010</v>
      </c>
    </row>
    <row r="17" spans="1:43" x14ac:dyDescent="0.25">
      <c r="A17" s="71"/>
      <c r="C17" s="72"/>
      <c r="D17" s="72"/>
      <c r="E17" s="72"/>
      <c r="F17" s="72"/>
      <c r="G17" s="72"/>
      <c r="H17" s="72"/>
      <c r="I17" s="72"/>
      <c r="J17" s="72"/>
      <c r="K17" s="72"/>
      <c r="L17" s="72"/>
      <c r="M17" s="72"/>
      <c r="N17" s="72"/>
      <c r="O17" s="72"/>
      <c r="P17" s="72"/>
      <c r="Q17" s="124"/>
      <c r="R17" s="124"/>
      <c r="S17" s="124"/>
      <c r="T17" s="124"/>
      <c r="U17" s="72"/>
      <c r="V17" s="72"/>
      <c r="W17" s="72"/>
      <c r="X17" s="72"/>
      <c r="Y17" s="72"/>
      <c r="Z17" s="72"/>
      <c r="AA17" s="72"/>
      <c r="AB17" s="72"/>
      <c r="AC17" s="72"/>
      <c r="AD17" s="72"/>
      <c r="AE17" s="72"/>
      <c r="AF17" s="72"/>
      <c r="AG17" s="72"/>
      <c r="AH17" s="73"/>
      <c r="AI17" s="72"/>
      <c r="AJ17" s="72"/>
      <c r="AK17" s="72"/>
      <c r="AL17" s="124"/>
      <c r="AM17" s="124"/>
      <c r="AN17" s="124"/>
      <c r="AO17" s="124"/>
      <c r="AP17" s="124"/>
      <c r="AQ17" s="124"/>
    </row>
    <row r="18" spans="1:43" x14ac:dyDescent="0.25">
      <c r="A18" s="74" t="s">
        <v>89</v>
      </c>
      <c r="C18" s="79">
        <f t="shared" ref="C18" si="18">+C29*1000/C7</f>
        <v>873.41605210033879</v>
      </c>
      <c r="D18" s="79">
        <f t="shared" ref="D18" si="19">+D29*1000/D7</f>
        <v>913.04723185710588</v>
      </c>
      <c r="E18" s="79">
        <f t="shared" ref="E18:F18" si="20">+E29*1000/E7</f>
        <v>945.20251220125203</v>
      </c>
      <c r="F18" s="79">
        <f t="shared" si="20"/>
        <v>997.40757814186793</v>
      </c>
      <c r="G18" s="79">
        <f t="shared" ref="G18:H18" si="21">+G29*1000/G7</f>
        <v>962.62521331895516</v>
      </c>
      <c r="H18" s="79">
        <f t="shared" si="21"/>
        <v>853.98795729875326</v>
      </c>
      <c r="I18" s="79">
        <f t="shared" ref="I18:L18" si="22">+I29*1000/I7</f>
        <v>808.99830213386053</v>
      </c>
      <c r="J18" s="79">
        <f t="shared" si="22"/>
        <v>829.87676866268589</v>
      </c>
      <c r="K18" s="79">
        <f t="shared" si="22"/>
        <v>827.83241699882353</v>
      </c>
      <c r="L18" s="79">
        <f t="shared" si="22"/>
        <v>781.58859223017066</v>
      </c>
      <c r="M18" s="79">
        <f t="shared" ref="M18:P18" si="23">+M29*1000/M7</f>
        <v>740.03175547333728</v>
      </c>
      <c r="N18" s="79">
        <f t="shared" si="23"/>
        <v>766.82337815937069</v>
      </c>
      <c r="O18" s="79">
        <f t="shared" si="23"/>
        <v>675.99785818090993</v>
      </c>
      <c r="P18" s="79">
        <f t="shared" si="23"/>
        <v>620.39148387414343</v>
      </c>
      <c r="Q18" s="147">
        <f t="shared" ref="Q18:R18" si="24">+Q29*1000/Q7</f>
        <v>678.32234763698966</v>
      </c>
      <c r="R18" s="147">
        <f t="shared" si="24"/>
        <v>694.9231050000875</v>
      </c>
      <c r="S18" s="147">
        <f t="shared" ref="S18:T21" si="25">+S29*1000/S7</f>
        <v>752.47335805059583</v>
      </c>
      <c r="T18" s="147">
        <f t="shared" si="25"/>
        <v>806.25515754364278</v>
      </c>
      <c r="U18" s="79">
        <f t="shared" ref="U18:Z18" si="26">+U29*1000/U7</f>
        <v>852.98358392346279</v>
      </c>
      <c r="V18" s="79">
        <f t="shared" si="26"/>
        <v>883.12564126208702</v>
      </c>
      <c r="W18" s="79">
        <f t="shared" si="26"/>
        <v>865.97975865940862</v>
      </c>
      <c r="X18" s="79">
        <f t="shared" si="26"/>
        <v>852.86844284611891</v>
      </c>
      <c r="Y18" s="79">
        <f t="shared" si="26"/>
        <v>847.41415605297209</v>
      </c>
      <c r="Z18" s="79">
        <f t="shared" si="26"/>
        <v>832.52319698988254</v>
      </c>
      <c r="AA18" s="79">
        <f t="shared" ref="AA18:AG18" si="27">+AA29*1000/AA7</f>
        <v>862.97226465713652</v>
      </c>
      <c r="AB18" s="79">
        <f t="shared" si="27"/>
        <v>852.32893634838683</v>
      </c>
      <c r="AC18" s="79">
        <f t="shared" si="27"/>
        <v>853.61020524579021</v>
      </c>
      <c r="AD18" s="79">
        <f t="shared" si="27"/>
        <v>887.15738538436392</v>
      </c>
      <c r="AE18" s="79">
        <f t="shared" si="27"/>
        <v>921.78334002949123</v>
      </c>
      <c r="AF18" s="79">
        <f t="shared" si="27"/>
        <v>937.65363160338472</v>
      </c>
      <c r="AG18" s="79">
        <f t="shared" si="27"/>
        <v>913.01365038602808</v>
      </c>
      <c r="AH18" s="80"/>
      <c r="AI18" s="79">
        <f t="shared" ref="AI18:AI21" si="28">+AI29*1000/AI7</f>
        <v>937.22060780944776</v>
      </c>
      <c r="AJ18" s="79">
        <f t="shared" ref="AJ18" si="29">+AJ29*1000/AJ7</f>
        <v>812.13100465414925</v>
      </c>
      <c r="AK18" s="79">
        <f t="shared" ref="AK18:AL21" si="30">+AK29*1000/AK7</f>
        <v>699.06839042113995</v>
      </c>
      <c r="AL18" s="147">
        <f t="shared" si="30"/>
        <v>733.94729545276448</v>
      </c>
      <c r="AM18" s="147">
        <f t="shared" ref="AM18:AN21" si="31">+AM29*1000/AM7</f>
        <v>863.59918207832152</v>
      </c>
      <c r="AN18" s="147">
        <f t="shared" si="31"/>
        <v>848.57125559720043</v>
      </c>
      <c r="AO18" s="147">
        <f t="shared" ref="AO18:AQ21" si="32">+AO29*1000/AO7</f>
        <v>900.0263338237429</v>
      </c>
      <c r="AP18" s="147">
        <f t="shared" si="32"/>
        <v>961.26342933123999</v>
      </c>
      <c r="AQ18" s="147">
        <f t="shared" si="32"/>
        <v>846.03487088856639</v>
      </c>
    </row>
    <row r="19" spans="1:43" x14ac:dyDescent="0.25">
      <c r="A19" s="74" t="s">
        <v>90</v>
      </c>
      <c r="C19" s="79">
        <f t="shared" ref="C19" si="33">+C30*1000/C8</f>
        <v>955.02123185821767</v>
      </c>
      <c r="D19" s="79">
        <f t="shared" ref="D19" si="34">+D30*1000/D8</f>
        <v>976.00730838419713</v>
      </c>
      <c r="E19" s="79">
        <f t="shared" ref="E19:F19" si="35">+E30*1000/E8</f>
        <v>939.12913241209981</v>
      </c>
      <c r="F19" s="79">
        <f t="shared" si="35"/>
        <v>927.682178724952</v>
      </c>
      <c r="G19" s="79">
        <f t="shared" ref="G19:H19" si="36">+G30*1000/G8</f>
        <v>792.03404303563786</v>
      </c>
      <c r="H19" s="79">
        <f t="shared" si="36"/>
        <v>733.87662606827178</v>
      </c>
      <c r="I19" s="79">
        <f t="shared" ref="I19:L19" si="37">+I30*1000/I8</f>
        <v>960.88963119346681</v>
      </c>
      <c r="J19" s="79">
        <f t="shared" si="37"/>
        <v>928.69033015578486</v>
      </c>
      <c r="K19" s="79">
        <f t="shared" si="37"/>
        <v>940.09013005987845</v>
      </c>
      <c r="L19" s="79">
        <f t="shared" si="37"/>
        <v>938.13199023547668</v>
      </c>
      <c r="M19" s="79">
        <f t="shared" ref="M19:P19" si="38">+M30*1000/M8</f>
        <v>862.92013380791298</v>
      </c>
      <c r="N19" s="79">
        <f t="shared" si="38"/>
        <v>845.31822337533981</v>
      </c>
      <c r="O19" s="79">
        <f t="shared" si="38"/>
        <v>821.46443380771439</v>
      </c>
      <c r="P19" s="79">
        <f t="shared" si="38"/>
        <v>830.19150682601787</v>
      </c>
      <c r="Q19" s="147">
        <f t="shared" ref="Q19:R19" si="39">+Q30*1000/Q8</f>
        <v>1010.3843778753773</v>
      </c>
      <c r="R19" s="147">
        <f t="shared" si="39"/>
        <v>1010.2398259157657</v>
      </c>
      <c r="S19" s="147">
        <f t="shared" si="25"/>
        <v>988.88701390179403</v>
      </c>
      <c r="T19" s="147">
        <f t="shared" si="25"/>
        <v>1014.2944596067418</v>
      </c>
      <c r="U19" s="79">
        <f t="shared" ref="U19:W21" si="40">+U30*1000/U8</f>
        <v>1040.8055531416619</v>
      </c>
      <c r="V19" s="79">
        <f t="shared" si="40"/>
        <v>1074.1771561378855</v>
      </c>
      <c r="W19" s="79">
        <f t="shared" si="40"/>
        <v>1051.0351763969811</v>
      </c>
      <c r="X19" s="79">
        <f t="shared" ref="X19:Y21" si="41">+X30*1000/X8</f>
        <v>1042.2544972208045</v>
      </c>
      <c r="Y19" s="79">
        <f t="shared" si="41"/>
        <v>1110.3975617193489</v>
      </c>
      <c r="Z19" s="79">
        <f t="shared" ref="Z19:AG19" si="42">+Z30*1000/Z8</f>
        <v>1113.3254573508361</v>
      </c>
      <c r="AA19" s="79">
        <f t="shared" si="42"/>
        <v>1119.751841327439</v>
      </c>
      <c r="AB19" s="79">
        <f t="shared" si="42"/>
        <v>1131.2711516346512</v>
      </c>
      <c r="AC19" s="79">
        <f t="shared" si="42"/>
        <v>1157.0228776094223</v>
      </c>
      <c r="AD19" s="79">
        <f t="shared" si="42"/>
        <v>1122.1500174662074</v>
      </c>
      <c r="AE19" s="79">
        <f t="shared" si="42"/>
        <v>1085.1693959135478</v>
      </c>
      <c r="AF19" s="79">
        <f t="shared" si="42"/>
        <v>1116.3208380432543</v>
      </c>
      <c r="AG19" s="79">
        <f t="shared" si="42"/>
        <v>1131.370514158607</v>
      </c>
      <c r="AH19" s="81"/>
      <c r="AI19" s="79">
        <f t="shared" si="28"/>
        <v>840.22562160459154</v>
      </c>
      <c r="AJ19" s="79">
        <f t="shared" ref="AJ19" si="43">+AJ30*1000/AJ8</f>
        <v>942.02650351029126</v>
      </c>
      <c r="AK19" s="79">
        <f t="shared" si="30"/>
        <v>840.19118860664116</v>
      </c>
      <c r="AL19" s="147">
        <f t="shared" si="30"/>
        <v>1005.8728625053927</v>
      </c>
      <c r="AM19" s="147">
        <f t="shared" si="31"/>
        <v>1052.0412660330787</v>
      </c>
      <c r="AN19" s="147">
        <f t="shared" si="31"/>
        <v>1118.3433516353089</v>
      </c>
      <c r="AO19" s="147">
        <f t="shared" si="32"/>
        <v>1119.8111374885648</v>
      </c>
      <c r="AP19" s="147">
        <f t="shared" si="32"/>
        <v>1124.0912891051878</v>
      </c>
      <c r="AQ19" s="147">
        <f t="shared" si="32"/>
        <v>1008.9839493048574</v>
      </c>
    </row>
    <row r="20" spans="1:43" x14ac:dyDescent="0.25">
      <c r="A20" s="74" t="s">
        <v>91</v>
      </c>
      <c r="C20" s="79">
        <f t="shared" ref="C20" si="44">+C31*1000/C9</f>
        <v>694.59569155953955</v>
      </c>
      <c r="D20" s="79">
        <f t="shared" ref="D20" si="45">+D31*1000/D9</f>
        <v>710.20550453012925</v>
      </c>
      <c r="E20" s="79">
        <f t="shared" ref="E20:F20" si="46">+E31*1000/E9</f>
        <v>698.54747964835349</v>
      </c>
      <c r="F20" s="79">
        <f t="shared" si="46"/>
        <v>810.18201438652022</v>
      </c>
      <c r="G20" s="79">
        <f t="shared" ref="G20:H20" si="47">+G31*1000/G9</f>
        <v>781.32815059257507</v>
      </c>
      <c r="H20" s="79">
        <f t="shared" si="47"/>
        <v>656.77103844377564</v>
      </c>
      <c r="I20" s="79">
        <f t="shared" ref="I20:L20" si="48">+I31*1000/I9</f>
        <v>615.717424170502</v>
      </c>
      <c r="J20" s="79">
        <f t="shared" si="48"/>
        <v>636.13729772105557</v>
      </c>
      <c r="K20" s="79">
        <f t="shared" si="48"/>
        <v>843.80646532146579</v>
      </c>
      <c r="L20" s="79">
        <f t="shared" si="48"/>
        <v>839.3689291928232</v>
      </c>
      <c r="M20" s="79">
        <f t="shared" ref="M20:P20" si="49">+M31*1000/M9</f>
        <v>792.28463033182175</v>
      </c>
      <c r="N20" s="79">
        <f t="shared" si="49"/>
        <v>802.54632572399385</v>
      </c>
      <c r="O20" s="79">
        <f t="shared" si="49"/>
        <v>731.798163437065</v>
      </c>
      <c r="P20" s="79">
        <f t="shared" si="49"/>
        <v>713.09480162281898</v>
      </c>
      <c r="Q20" s="147">
        <f t="shared" ref="Q20:R20" si="50">+Q31*1000/Q9</f>
        <v>769.77774281289351</v>
      </c>
      <c r="R20" s="147">
        <f t="shared" si="50"/>
        <v>777.44344600383613</v>
      </c>
      <c r="S20" s="147">
        <f t="shared" si="25"/>
        <v>813.91408698202031</v>
      </c>
      <c r="T20" s="147">
        <f t="shared" si="25"/>
        <v>888.00271071826955</v>
      </c>
      <c r="U20" s="79">
        <f t="shared" si="40"/>
        <v>893.65028862497763</v>
      </c>
      <c r="V20" s="79">
        <f t="shared" si="40"/>
        <v>949.74510699684981</v>
      </c>
      <c r="W20" s="79">
        <f t="shared" si="40"/>
        <v>963.55931027583745</v>
      </c>
      <c r="X20" s="79">
        <f t="shared" si="41"/>
        <v>933.14739789738951</v>
      </c>
      <c r="Y20" s="79">
        <f t="shared" si="41"/>
        <v>949.74321383116774</v>
      </c>
      <c r="Z20" s="79">
        <f t="shared" ref="Z20:AG20" si="51">+Z31*1000/Z9</f>
        <v>903.11571915143895</v>
      </c>
      <c r="AA20" s="79">
        <f t="shared" si="51"/>
        <v>902.88710171151536</v>
      </c>
      <c r="AB20" s="79">
        <f t="shared" si="51"/>
        <v>904.21301306359089</v>
      </c>
      <c r="AC20" s="79">
        <f t="shared" si="51"/>
        <v>922.81575569395</v>
      </c>
      <c r="AD20" s="79">
        <f t="shared" si="51"/>
        <v>980.44070853138385</v>
      </c>
      <c r="AE20" s="79">
        <f t="shared" si="51"/>
        <v>1053.4970639218323</v>
      </c>
      <c r="AF20" s="79">
        <f t="shared" si="51"/>
        <v>1068.509650450665</v>
      </c>
      <c r="AG20" s="79">
        <f t="shared" si="51"/>
        <v>1080.353248880089</v>
      </c>
      <c r="AH20" s="80"/>
      <c r="AI20" s="79">
        <f t="shared" si="28"/>
        <v>736.53480115874379</v>
      </c>
      <c r="AJ20" s="79">
        <f t="shared" ref="AJ20" si="52">+AJ31*1000/AJ9</f>
        <v>674.80614279118572</v>
      </c>
      <c r="AK20" s="79">
        <f t="shared" si="30"/>
        <v>759.53029774672063</v>
      </c>
      <c r="AL20" s="147">
        <f t="shared" si="30"/>
        <v>812.30476596831716</v>
      </c>
      <c r="AM20" s="147">
        <f t="shared" si="31"/>
        <v>936.07459944156244</v>
      </c>
      <c r="AN20" s="147">
        <f t="shared" si="31"/>
        <v>913.05758584145167</v>
      </c>
      <c r="AO20" s="147">
        <f t="shared" si="32"/>
        <v>1004.3350235030088</v>
      </c>
      <c r="AP20" s="147">
        <f t="shared" si="32"/>
        <v>1027.078767367427</v>
      </c>
      <c r="AQ20" s="147">
        <f t="shared" si="32"/>
        <v>849.8722275313736</v>
      </c>
    </row>
    <row r="21" spans="1:43" x14ac:dyDescent="0.25">
      <c r="A21" s="77" t="s">
        <v>92</v>
      </c>
      <c r="C21" s="82">
        <f t="shared" ref="C21" si="53">+C32*1000/C10</f>
        <v>818.47542805586511</v>
      </c>
      <c r="D21" s="82">
        <f t="shared" ref="D21" si="54">+D32*1000/D10</f>
        <v>845.85197925738589</v>
      </c>
      <c r="E21" s="82">
        <f t="shared" ref="E21:F21" si="55">+E32*1000/E10</f>
        <v>866.33541337675319</v>
      </c>
      <c r="F21" s="82">
        <f t="shared" si="55"/>
        <v>921.46910439265241</v>
      </c>
      <c r="G21" s="82">
        <f t="shared" ref="G21:H21" si="56">+G32*1000/G10</f>
        <v>877.24742089940014</v>
      </c>
      <c r="H21" s="82">
        <f t="shared" si="56"/>
        <v>770.23827776839676</v>
      </c>
      <c r="I21" s="82">
        <f t="shared" ref="I21:L21" si="57">+I32*1000/I10</f>
        <v>772.49269613120271</v>
      </c>
      <c r="J21" s="82">
        <f t="shared" si="57"/>
        <v>802.1755457705334</v>
      </c>
      <c r="K21" s="82">
        <f t="shared" si="57"/>
        <v>855.25451336780577</v>
      </c>
      <c r="L21" s="82">
        <f t="shared" si="57"/>
        <v>822.29442877148256</v>
      </c>
      <c r="M21" s="82">
        <f t="shared" ref="M21:P21" si="58">+M32*1000/M10</f>
        <v>775.93220866586444</v>
      </c>
      <c r="N21" s="82">
        <f t="shared" si="58"/>
        <v>789.02717554962692</v>
      </c>
      <c r="O21" s="82">
        <f t="shared" si="58"/>
        <v>713.13674629998593</v>
      </c>
      <c r="P21" s="82">
        <f t="shared" si="58"/>
        <v>679.13006870181869</v>
      </c>
      <c r="Q21" s="148">
        <f t="shared" ref="Q21:R21" si="59">+Q32*1000/Q10</f>
        <v>781.12019231227464</v>
      </c>
      <c r="R21" s="148">
        <f t="shared" si="59"/>
        <v>786.70732691376088</v>
      </c>
      <c r="S21" s="148">
        <f t="shared" si="25"/>
        <v>823.59936234939562</v>
      </c>
      <c r="T21" s="148">
        <f t="shared" si="25"/>
        <v>868.70060465669997</v>
      </c>
      <c r="U21" s="82">
        <f t="shared" si="40"/>
        <v>909.08705557845565</v>
      </c>
      <c r="V21" s="82">
        <f t="shared" si="40"/>
        <v>943.6589371578068</v>
      </c>
      <c r="W21" s="82">
        <f t="shared" si="40"/>
        <v>928.6078913548431</v>
      </c>
      <c r="X21" s="82">
        <f t="shared" si="41"/>
        <v>913.12283118824155</v>
      </c>
      <c r="Y21" s="82">
        <f t="shared" si="41"/>
        <v>939.73620249212809</v>
      </c>
      <c r="Z21" s="82">
        <f t="shared" ref="Z21:AG21" si="60">+Z32*1000/Z10</f>
        <v>927.09765020362704</v>
      </c>
      <c r="AA21" s="82">
        <f t="shared" si="60"/>
        <v>946.32696301619615</v>
      </c>
      <c r="AB21" s="82">
        <f t="shared" si="60"/>
        <v>936.96763644378939</v>
      </c>
      <c r="AC21" s="82">
        <f t="shared" si="60"/>
        <v>948.44284783343608</v>
      </c>
      <c r="AD21" s="82">
        <f t="shared" si="60"/>
        <v>967.04473077470243</v>
      </c>
      <c r="AE21" s="82">
        <f t="shared" si="60"/>
        <v>988.49242865786402</v>
      </c>
      <c r="AF21" s="82">
        <f t="shared" si="60"/>
        <v>1007.0227927239609</v>
      </c>
      <c r="AG21" s="82">
        <f t="shared" si="60"/>
        <v>1004.5264012000425</v>
      </c>
      <c r="AH21" s="81"/>
      <c r="AI21" s="82">
        <f t="shared" si="28"/>
        <v>856.37454387916114</v>
      </c>
      <c r="AJ21" s="82">
        <f t="shared" ref="AJ21" si="61">+AJ32*1000/AJ10</f>
        <v>809.8261954818247</v>
      </c>
      <c r="AK21" s="82">
        <f t="shared" si="30"/>
        <v>738.2135630245765</v>
      </c>
      <c r="AL21" s="148">
        <f t="shared" si="30"/>
        <v>815.33662001746859</v>
      </c>
      <c r="AM21" s="148">
        <f t="shared" si="31"/>
        <v>923.60168269758469</v>
      </c>
      <c r="AN21" s="148">
        <f t="shared" si="31"/>
        <v>937.43192188545413</v>
      </c>
      <c r="AO21" s="148">
        <f t="shared" si="32"/>
        <v>977.61930359030794</v>
      </c>
      <c r="AP21" s="148">
        <f t="shared" si="32"/>
        <v>1021.1212401631118</v>
      </c>
      <c r="AQ21" s="148">
        <f t="shared" si="32"/>
        <v>895.08238127915831</v>
      </c>
    </row>
    <row r="22" spans="1:43" x14ac:dyDescent="0.25">
      <c r="A22" s="77"/>
      <c r="C22" s="79"/>
      <c r="D22" s="79"/>
      <c r="E22" s="79"/>
      <c r="F22" s="79"/>
      <c r="G22" s="79"/>
      <c r="H22" s="79"/>
      <c r="I22" s="79"/>
      <c r="J22" s="79"/>
      <c r="K22" s="79"/>
      <c r="L22" s="79"/>
      <c r="M22" s="79"/>
      <c r="N22" s="79"/>
      <c r="O22" s="79"/>
      <c r="P22" s="79"/>
      <c r="Q22" s="147"/>
      <c r="R22" s="147"/>
      <c r="S22" s="147"/>
      <c r="T22" s="147"/>
      <c r="U22" s="79"/>
      <c r="V22" s="79"/>
      <c r="W22" s="79"/>
      <c r="X22" s="79"/>
      <c r="Y22" s="79"/>
      <c r="Z22" s="79"/>
      <c r="AA22" s="79"/>
      <c r="AB22" s="79"/>
      <c r="AC22" s="79"/>
      <c r="AD22" s="79"/>
      <c r="AE22" s="79"/>
      <c r="AF22" s="79"/>
      <c r="AG22" s="79"/>
      <c r="AH22" s="81"/>
      <c r="AI22" s="79"/>
      <c r="AJ22" s="79"/>
      <c r="AK22" s="79"/>
      <c r="AL22" s="147"/>
      <c r="AM22" s="147"/>
      <c r="AN22" s="147"/>
      <c r="AO22" s="147"/>
      <c r="AP22" s="147"/>
      <c r="AQ22" s="147"/>
    </row>
    <row r="23" spans="1:43" x14ac:dyDescent="0.25">
      <c r="A23" s="77" t="s">
        <v>93</v>
      </c>
      <c r="C23" s="79">
        <f t="shared" ref="C23" si="62">+C36*1000/C12</f>
        <v>91.964643705539956</v>
      </c>
      <c r="D23" s="79">
        <f t="shared" ref="D23" si="63">+D36*1000/D12</f>
        <v>82.383063843270875</v>
      </c>
      <c r="E23" s="79">
        <f t="shared" ref="E23:F23" si="64">+E36*1000/E12</f>
        <v>83.886819224220091</v>
      </c>
      <c r="F23" s="79">
        <f t="shared" si="64"/>
        <v>72.877660165852063</v>
      </c>
      <c r="G23" s="79">
        <f t="shared" ref="G23:H23" si="65">+G36*1000/G12</f>
        <v>80.531050728568019</v>
      </c>
      <c r="H23" s="79">
        <f t="shared" si="65"/>
        <v>75.044147297479583</v>
      </c>
      <c r="I23" s="79">
        <f t="shared" ref="I23:L23" si="66">+I36*1000/I12</f>
        <v>78.921009497330985</v>
      </c>
      <c r="J23" s="79">
        <f t="shared" si="66"/>
        <v>89.806322936593176</v>
      </c>
      <c r="K23" s="79">
        <f t="shared" si="66"/>
        <v>63.526755379198242</v>
      </c>
      <c r="L23" s="79">
        <f t="shared" si="66"/>
        <v>72.513804201478308</v>
      </c>
      <c r="M23" s="79">
        <f t="shared" ref="M23:T23" si="67">+M36*1000/M12</f>
        <v>63.814119693695915</v>
      </c>
      <c r="N23" s="79">
        <f t="shared" si="67"/>
        <v>71.815550444868663</v>
      </c>
      <c r="O23" s="79">
        <f t="shared" si="67"/>
        <v>59.663471101716738</v>
      </c>
      <c r="P23" s="79">
        <f t="shared" si="67"/>
        <v>52.541961162762796</v>
      </c>
      <c r="Q23" s="147">
        <f t="shared" si="67"/>
        <v>50.115272398097652</v>
      </c>
      <c r="R23" s="147">
        <f t="shared" si="67"/>
        <v>57.268029863919949</v>
      </c>
      <c r="S23" s="147">
        <f t="shared" si="67"/>
        <v>56.850235656044404</v>
      </c>
      <c r="T23" s="147">
        <f t="shared" si="67"/>
        <v>59.079177201449639</v>
      </c>
      <c r="U23" s="79">
        <f t="shared" ref="U23:Z23" si="68">+U36*1000/U12</f>
        <v>69.851371218443418</v>
      </c>
      <c r="V23" s="79">
        <f t="shared" si="68"/>
        <v>81.671061284244686</v>
      </c>
      <c r="W23" s="79">
        <f t="shared" si="68"/>
        <v>88.245494731084349</v>
      </c>
      <c r="X23" s="79">
        <f t="shared" si="68"/>
        <v>86.194261741474094</v>
      </c>
      <c r="Y23" s="79">
        <f t="shared" si="68"/>
        <v>110.77623142518999</v>
      </c>
      <c r="Z23" s="79">
        <f t="shared" si="68"/>
        <v>80.372378061907341</v>
      </c>
      <c r="AA23" s="79">
        <f t="shared" ref="AA23:AG23" si="69">+AA36*1000/AA12</f>
        <v>83.643657927902922</v>
      </c>
      <c r="AB23" s="79">
        <f t="shared" si="69"/>
        <v>90.580465320780775</v>
      </c>
      <c r="AC23" s="79">
        <f t="shared" si="69"/>
        <v>94.716632459533031</v>
      </c>
      <c r="AD23" s="79">
        <f t="shared" si="69"/>
        <v>119.21441717774414</v>
      </c>
      <c r="AE23" s="79">
        <f t="shared" si="69"/>
        <v>96.015742410715106</v>
      </c>
      <c r="AF23" s="79">
        <f t="shared" si="69"/>
        <v>100.50793212282474</v>
      </c>
      <c r="AG23" s="79">
        <f t="shared" si="69"/>
        <v>107.06048156669858</v>
      </c>
      <c r="AH23" s="81"/>
      <c r="AI23" s="79">
        <f>+AI36*1000/AI12</f>
        <v>77.98088204480257</v>
      </c>
      <c r="AJ23" s="79">
        <f t="shared" ref="AJ23:AK23" si="70">+AJ36*1000/AJ12</f>
        <v>76.448369245358663</v>
      </c>
      <c r="AK23" s="79">
        <f t="shared" si="70"/>
        <v>61.908951598548619</v>
      </c>
      <c r="AL23" s="147">
        <f t="shared" ref="AL23:AQ23" si="71">+AL36*1000/AL12</f>
        <v>55.865456156983633</v>
      </c>
      <c r="AM23" s="147">
        <f t="shared" si="71"/>
        <v>81.186329565079262</v>
      </c>
      <c r="AN23" s="147">
        <f t="shared" si="71"/>
        <v>91.084161258282123</v>
      </c>
      <c r="AO23" s="147">
        <f t="shared" si="71"/>
        <v>102.38060119647241</v>
      </c>
      <c r="AP23" s="147">
        <f t="shared" si="71"/>
        <v>103.99180893721997</v>
      </c>
      <c r="AQ23" s="147">
        <f t="shared" si="71"/>
        <v>89.728369595576012</v>
      </c>
    </row>
    <row r="24" spans="1:43" x14ac:dyDescent="0.25">
      <c r="A24" s="77"/>
      <c r="C24" s="75"/>
      <c r="D24" s="75"/>
      <c r="E24" s="75"/>
      <c r="F24" s="75"/>
      <c r="G24" s="75"/>
      <c r="H24" s="75"/>
      <c r="I24" s="75"/>
      <c r="J24" s="75"/>
      <c r="K24" s="75"/>
      <c r="L24" s="75"/>
      <c r="M24" s="75"/>
      <c r="N24" s="75"/>
      <c r="O24" s="75"/>
      <c r="P24" s="75"/>
      <c r="Q24" s="147"/>
      <c r="R24" s="147"/>
      <c r="S24" s="147"/>
      <c r="T24" s="147"/>
      <c r="U24" s="79"/>
      <c r="V24" s="79"/>
      <c r="W24" s="79"/>
      <c r="X24" s="75"/>
      <c r="Y24" s="75"/>
      <c r="Z24" s="75"/>
      <c r="AA24" s="75"/>
      <c r="AB24" s="75"/>
      <c r="AC24" s="75"/>
      <c r="AD24" s="75"/>
      <c r="AE24" s="75"/>
      <c r="AF24" s="75"/>
      <c r="AG24" s="75"/>
      <c r="AH24" s="77"/>
      <c r="AI24" s="75"/>
      <c r="AJ24" s="75"/>
      <c r="AK24" s="75"/>
      <c r="AL24" s="125"/>
      <c r="AM24" s="125"/>
      <c r="AN24" s="125"/>
      <c r="AO24" s="125"/>
      <c r="AP24" s="125"/>
      <c r="AQ24" s="125"/>
    </row>
    <row r="25" spans="1:43" x14ac:dyDescent="0.25">
      <c r="A25" s="76"/>
      <c r="C25" s="77"/>
      <c r="D25" s="77"/>
      <c r="E25" s="77"/>
      <c r="F25" s="77"/>
      <c r="G25" s="77"/>
      <c r="H25" s="77"/>
      <c r="I25" s="77"/>
      <c r="J25" s="77"/>
      <c r="K25" s="77"/>
      <c r="L25" s="77"/>
      <c r="M25" s="77"/>
      <c r="N25" s="77"/>
      <c r="O25" s="77"/>
      <c r="P25" s="77"/>
      <c r="Q25" s="128"/>
      <c r="R25" s="128"/>
      <c r="S25" s="128"/>
      <c r="T25" s="128"/>
      <c r="U25" s="77"/>
      <c r="V25" s="77"/>
      <c r="W25" s="77"/>
      <c r="X25" s="77"/>
      <c r="Y25" s="77"/>
      <c r="Z25" s="77"/>
      <c r="AA25" s="77"/>
      <c r="AB25" s="77"/>
      <c r="AC25" s="77"/>
      <c r="AD25" s="77"/>
      <c r="AE25" s="77"/>
      <c r="AF25" s="77"/>
      <c r="AG25" s="77"/>
      <c r="AH25" s="76"/>
      <c r="AI25" s="77"/>
      <c r="AJ25" s="77"/>
      <c r="AK25" s="77"/>
      <c r="AL25" s="128"/>
      <c r="AM25" s="128"/>
      <c r="AN25" s="128"/>
      <c r="AO25" s="128"/>
      <c r="AP25" s="128"/>
      <c r="AQ25" s="128"/>
    </row>
    <row r="26" spans="1:43" x14ac:dyDescent="0.25">
      <c r="A26" s="67" t="s">
        <v>78</v>
      </c>
      <c r="C26" s="67"/>
      <c r="D26" s="67"/>
      <c r="E26" s="67"/>
      <c r="F26" s="67"/>
      <c r="G26" s="67"/>
      <c r="H26" s="67"/>
      <c r="I26" s="67"/>
      <c r="J26" s="67"/>
      <c r="K26" s="67"/>
      <c r="L26" s="67"/>
      <c r="M26" s="67"/>
      <c r="N26" s="67"/>
      <c r="O26" s="67"/>
      <c r="P26" s="67"/>
      <c r="Q26" s="127"/>
      <c r="R26" s="127"/>
      <c r="S26" s="127"/>
      <c r="T26" s="127"/>
      <c r="U26" s="67"/>
      <c r="V26" s="67"/>
      <c r="W26" s="67"/>
      <c r="X26" s="67"/>
      <c r="Y26" s="67"/>
      <c r="Z26" s="67"/>
      <c r="AA26" s="67"/>
      <c r="AB26" s="67"/>
      <c r="AC26" s="67"/>
      <c r="AD26" s="67"/>
      <c r="AE26" s="67"/>
      <c r="AF26" s="67"/>
      <c r="AG26" s="67"/>
      <c r="AH26" s="67"/>
      <c r="AI26" s="67"/>
      <c r="AJ26" s="67"/>
      <c r="AK26" s="67"/>
      <c r="AL26" s="127"/>
      <c r="AM26" s="127"/>
      <c r="AN26" s="127"/>
      <c r="AO26" s="127"/>
      <c r="AP26" s="127"/>
      <c r="AQ26" s="127"/>
    </row>
    <row r="27" spans="1:43" x14ac:dyDescent="0.25">
      <c r="A27" s="68" t="s">
        <v>72</v>
      </c>
      <c r="C27" s="46" t="str">
        <f t="shared" ref="C27" si="72">+C5</f>
        <v>2Q 2019</v>
      </c>
      <c r="D27" s="46" t="str">
        <f t="shared" ref="D27" si="73">+D5</f>
        <v>1Q2019*</v>
      </c>
      <c r="E27" s="46" t="str">
        <f t="shared" ref="E27:F27" si="74">+E5</f>
        <v>4Q2018</v>
      </c>
      <c r="F27" s="46" t="str">
        <f t="shared" si="74"/>
        <v>3Q 2018**</v>
      </c>
      <c r="G27" s="46" t="str">
        <f t="shared" ref="G27:H27" si="75">+G5</f>
        <v>2Q 2018**</v>
      </c>
      <c r="H27" s="46" t="str">
        <f t="shared" si="75"/>
        <v>1Q 2018**</v>
      </c>
      <c r="I27" s="46" t="str">
        <f t="shared" ref="I27:K27" si="76">+I5</f>
        <v>4Q 2017</v>
      </c>
      <c r="J27" s="46" t="str">
        <f t="shared" si="76"/>
        <v>3Q 2017</v>
      </c>
      <c r="K27" s="46" t="str">
        <f t="shared" si="76"/>
        <v>2Q 2017</v>
      </c>
      <c r="L27" s="46" t="str">
        <f>+L5</f>
        <v>1Q 2017</v>
      </c>
      <c r="M27" s="46" t="str">
        <f t="shared" ref="M27:O27" si="77">+M5</f>
        <v>4Q 2016</v>
      </c>
      <c r="N27" s="46" t="str">
        <f t="shared" si="77"/>
        <v>3Q 2016</v>
      </c>
      <c r="O27" s="46" t="str">
        <f t="shared" si="77"/>
        <v>2Q 2016</v>
      </c>
      <c r="P27" s="46" t="str">
        <f>+P5</f>
        <v>1Q 2016</v>
      </c>
      <c r="Q27" s="123" t="str">
        <f t="shared" ref="Q27:S27" si="78">+Q5</f>
        <v>4Q 2015</v>
      </c>
      <c r="R27" s="123" t="str">
        <f t="shared" si="78"/>
        <v>3Q 2015</v>
      </c>
      <c r="S27" s="123" t="str">
        <f t="shared" si="78"/>
        <v>2Q 2015</v>
      </c>
      <c r="T27" s="123" t="str">
        <f>+T5</f>
        <v>1Q 2015</v>
      </c>
      <c r="U27" s="46" t="s">
        <v>103</v>
      </c>
      <c r="V27" s="46" t="s">
        <v>104</v>
      </c>
      <c r="W27" s="46" t="s">
        <v>105</v>
      </c>
      <c r="X27" s="46" t="s">
        <v>102</v>
      </c>
      <c r="Y27" s="47" t="s">
        <v>99</v>
      </c>
      <c r="Z27" s="47" t="s">
        <v>4</v>
      </c>
      <c r="AA27" s="47" t="s">
        <v>5</v>
      </c>
      <c r="AB27" s="47" t="s">
        <v>6</v>
      </c>
      <c r="AC27" s="47" t="s">
        <v>73</v>
      </c>
      <c r="AD27" s="47" t="s">
        <v>74</v>
      </c>
      <c r="AE27" s="47" t="s">
        <v>75</v>
      </c>
      <c r="AF27" s="47" t="s">
        <v>76</v>
      </c>
      <c r="AG27" s="47" t="s">
        <v>88</v>
      </c>
      <c r="AH27" s="69"/>
      <c r="AI27" s="46">
        <f>+AI5</f>
        <v>2018</v>
      </c>
      <c r="AJ27" s="70">
        <f>+AJ5</f>
        <v>2017</v>
      </c>
      <c r="AK27" s="70">
        <f>+AK5</f>
        <v>2016</v>
      </c>
      <c r="AL27" s="70">
        <f>+AL5</f>
        <v>2015</v>
      </c>
      <c r="AM27" s="70">
        <f>+AM5</f>
        <v>2014</v>
      </c>
      <c r="AN27" s="70">
        <v>2013</v>
      </c>
      <c r="AO27" s="70">
        <v>2012</v>
      </c>
      <c r="AP27" s="70">
        <v>2011</v>
      </c>
      <c r="AQ27" s="70">
        <v>2010</v>
      </c>
    </row>
    <row r="28" spans="1:43" x14ac:dyDescent="0.25">
      <c r="A28" s="71"/>
      <c r="C28" s="72"/>
      <c r="D28" s="72"/>
      <c r="E28" s="72"/>
      <c r="F28" s="72"/>
      <c r="G28" s="72"/>
      <c r="H28" s="72"/>
      <c r="I28" s="72"/>
      <c r="J28" s="72"/>
      <c r="K28" s="72"/>
      <c r="L28" s="72"/>
      <c r="M28" s="72"/>
      <c r="N28" s="72"/>
      <c r="O28" s="72"/>
      <c r="P28" s="72"/>
      <c r="Q28" s="124"/>
      <c r="R28" s="124"/>
      <c r="S28" s="124"/>
      <c r="T28" s="124"/>
      <c r="U28" s="72"/>
      <c r="V28" s="72"/>
      <c r="W28" s="72"/>
      <c r="X28" s="72"/>
      <c r="Y28" s="72"/>
      <c r="Z28" s="72"/>
      <c r="AA28" s="72"/>
      <c r="AB28" s="72"/>
      <c r="AC28" s="72"/>
      <c r="AD28" s="72"/>
      <c r="AE28" s="72"/>
      <c r="AF28" s="72"/>
      <c r="AG28" s="72"/>
      <c r="AH28" s="73"/>
      <c r="AI28" s="72"/>
      <c r="AJ28" s="72"/>
      <c r="AK28" s="72"/>
      <c r="AL28" s="124"/>
      <c r="AM28" s="124"/>
      <c r="AN28" s="124"/>
      <c r="AO28" s="124"/>
      <c r="AP28" s="124"/>
      <c r="AQ28" s="124"/>
    </row>
    <row r="29" spans="1:43" x14ac:dyDescent="0.25">
      <c r="A29" s="74" t="s">
        <v>89</v>
      </c>
      <c r="C29" s="75">
        <v>1370.6128998916729</v>
      </c>
      <c r="D29" s="75">
        <v>1427.4922773912649</v>
      </c>
      <c r="E29" s="75">
        <v>1439.8764306316766</v>
      </c>
      <c r="F29" s="75">
        <v>1521.2873692793969</v>
      </c>
      <c r="G29" s="75">
        <v>1657.368050217905</v>
      </c>
      <c r="H29" s="75">
        <v>1515.4233076092905</v>
      </c>
      <c r="I29" s="75">
        <v>1306.04377952096</v>
      </c>
      <c r="J29" s="75">
        <v>1348.5636934713134</v>
      </c>
      <c r="K29" s="75">
        <v>1424.2116108480843</v>
      </c>
      <c r="L29" s="75">
        <v>1299.796799481381</v>
      </c>
      <c r="M29" s="75">
        <v>1128.4374218969003</v>
      </c>
      <c r="N29" s="75">
        <v>1172.8048336408999</v>
      </c>
      <c r="O29" s="75">
        <v>1185.8618568964616</v>
      </c>
      <c r="P29" s="75">
        <v>990.53999189973899</v>
      </c>
      <c r="Q29" s="125">
        <v>954.20783004684608</v>
      </c>
      <c r="R29" s="125">
        <v>1065.2779803809287</v>
      </c>
      <c r="S29" s="125">
        <v>1096.9111075540729</v>
      </c>
      <c r="T29" s="125">
        <v>1238.4011551761864</v>
      </c>
      <c r="U29" s="75">
        <v>1215.7666449388951</v>
      </c>
      <c r="V29" s="75">
        <v>1219.1829644198999</v>
      </c>
      <c r="W29" s="75">
        <v>1222.0298539652808</v>
      </c>
      <c r="X29" s="75">
        <v>1206.9465109541411</v>
      </c>
      <c r="Y29" s="75">
        <v>1080.1006024458188</v>
      </c>
      <c r="Z29" s="75">
        <v>1057.09338669146</v>
      </c>
      <c r="AA29" s="75">
        <v>1028.1754079418095</v>
      </c>
      <c r="AB29" s="75">
        <v>1064.6895094658098</v>
      </c>
      <c r="AC29" s="94">
        <v>1041.1495438649688</v>
      </c>
      <c r="AD29" s="94">
        <v>1132.0442641743675</v>
      </c>
      <c r="AE29" s="94">
        <v>1127.0149534662471</v>
      </c>
      <c r="AF29" s="94">
        <v>1157.1104967657279</v>
      </c>
      <c r="AG29" s="94">
        <v>1079.3465030333805</v>
      </c>
      <c r="AH29" s="97"/>
      <c r="AI29" s="75">
        <v>6133.9551577382699</v>
      </c>
      <c r="AJ29" s="94">
        <v>5378.6158833217387</v>
      </c>
      <c r="AK29" s="94">
        <v>4477.644104334001</v>
      </c>
      <c r="AL29" s="132">
        <v>4354.7980731580337</v>
      </c>
      <c r="AM29" s="132">
        <v>4863.9259742782169</v>
      </c>
      <c r="AN29" s="132">
        <v>4230.0589065448985</v>
      </c>
      <c r="AO29" s="132">
        <v>4457.3192582713118</v>
      </c>
      <c r="AP29" s="132">
        <v>4501.7891645776836</v>
      </c>
      <c r="AQ29" s="132">
        <v>3779.1595849830492</v>
      </c>
    </row>
    <row r="30" spans="1:43" x14ac:dyDescent="0.25">
      <c r="A30" s="74" t="s">
        <v>90</v>
      </c>
      <c r="C30" s="75">
        <v>484.9405111191864</v>
      </c>
      <c r="D30" s="75">
        <v>431.65152592096774</v>
      </c>
      <c r="E30" s="75">
        <v>474.34630277480755</v>
      </c>
      <c r="F30" s="75">
        <v>506.94120155020539</v>
      </c>
      <c r="G30" s="75">
        <v>478.51231176851155</v>
      </c>
      <c r="H30" s="75">
        <v>473.60232769980905</v>
      </c>
      <c r="I30" s="75">
        <v>619.92821267017541</v>
      </c>
      <c r="J30" s="75">
        <v>618.81053150519051</v>
      </c>
      <c r="K30" s="75">
        <v>563.50673876040366</v>
      </c>
      <c r="L30" s="75">
        <v>511.35483972969172</v>
      </c>
      <c r="M30" s="75">
        <v>498.34203457846701</v>
      </c>
      <c r="N30" s="75">
        <v>452.47892251293069</v>
      </c>
      <c r="O30" s="75">
        <v>450.95215062826895</v>
      </c>
      <c r="P30" s="75">
        <v>464.11115077150384</v>
      </c>
      <c r="Q30" s="125">
        <v>650.25781681352714</v>
      </c>
      <c r="R30" s="125">
        <v>647.95229493576892</v>
      </c>
      <c r="S30" s="125">
        <v>637.40898119117765</v>
      </c>
      <c r="T30" s="125">
        <v>631.61022880388145</v>
      </c>
      <c r="U30" s="75">
        <v>666.98738894547455</v>
      </c>
      <c r="V30" s="75">
        <v>671.24640005980496</v>
      </c>
      <c r="W30" s="75">
        <v>664.76703259649082</v>
      </c>
      <c r="X30" s="75">
        <v>638.54830522566783</v>
      </c>
      <c r="Y30" s="75">
        <v>747.07606579248215</v>
      </c>
      <c r="Z30" s="75">
        <v>767.08782320815578</v>
      </c>
      <c r="AA30" s="75">
        <v>741.89762353267849</v>
      </c>
      <c r="AB30" s="75">
        <v>688.6866721317291</v>
      </c>
      <c r="AC30" s="94">
        <v>691.49688990712286</v>
      </c>
      <c r="AD30" s="94">
        <v>702.36287848569202</v>
      </c>
      <c r="AE30" s="94">
        <v>677.27087625470347</v>
      </c>
      <c r="AF30" s="94">
        <v>666.26407945757796</v>
      </c>
      <c r="AG30" s="94">
        <v>765.17625715514203</v>
      </c>
      <c r="AH30" s="89"/>
      <c r="AI30" s="75">
        <v>1933.4021437933334</v>
      </c>
      <c r="AJ30" s="94">
        <v>2313.6003226654611</v>
      </c>
      <c r="AK30" s="94">
        <v>1865.8842584911706</v>
      </c>
      <c r="AL30" s="132">
        <v>2567.2293217443548</v>
      </c>
      <c r="AM30" s="132">
        <v>2641.5491268274382</v>
      </c>
      <c r="AN30" s="132">
        <v>2944.7481846650453</v>
      </c>
      <c r="AO30" s="132">
        <v>2737.394724105096</v>
      </c>
      <c r="AP30" s="132">
        <v>2962.3493678886734</v>
      </c>
      <c r="AQ30" s="132">
        <v>2417.8961393120671</v>
      </c>
    </row>
    <row r="31" spans="1:43" x14ac:dyDescent="0.25">
      <c r="A31" s="74" t="s">
        <v>91</v>
      </c>
      <c r="C31" s="75">
        <v>872.1774150887145</v>
      </c>
      <c r="D31" s="75">
        <v>851.42272207962719</v>
      </c>
      <c r="E31" s="75">
        <v>653.25913277315249</v>
      </c>
      <c r="F31" s="75">
        <v>867.93229613112101</v>
      </c>
      <c r="G31" s="75">
        <v>778.02849096213038</v>
      </c>
      <c r="H31" s="75">
        <v>724.39426483410068</v>
      </c>
      <c r="I31" s="75">
        <v>708.81827369028497</v>
      </c>
      <c r="J31" s="75">
        <v>495.44080662235172</v>
      </c>
      <c r="K31" s="75">
        <v>270.85377739246786</v>
      </c>
      <c r="L31" s="75">
        <v>223.87657989797211</v>
      </c>
      <c r="M31" s="75">
        <v>218.35275049347007</v>
      </c>
      <c r="N31" s="75">
        <v>227.24085074620714</v>
      </c>
      <c r="O31" s="75">
        <v>222.84757425169451</v>
      </c>
      <c r="P31" s="75">
        <v>195.98239132812978</v>
      </c>
      <c r="Q31" s="125">
        <v>199.60452473345512</v>
      </c>
      <c r="R31" s="125">
        <v>224.09407357383697</v>
      </c>
      <c r="S31" s="125">
        <v>240.0521375096294</v>
      </c>
      <c r="T31" s="125">
        <v>241.6708243020492</v>
      </c>
      <c r="U31" s="75">
        <v>257.3426030292747</v>
      </c>
      <c r="V31" s="75">
        <v>313.36957785463369</v>
      </c>
      <c r="W31" s="75">
        <v>301.71263248070812</v>
      </c>
      <c r="X31" s="75">
        <v>286.86091135093631</v>
      </c>
      <c r="Y31" s="75">
        <v>270.59717745028092</v>
      </c>
      <c r="Z31" s="75">
        <v>309.79430897789678</v>
      </c>
      <c r="AA31" s="75">
        <v>324.0734685680772</v>
      </c>
      <c r="AB31" s="75">
        <v>346.72456337362649</v>
      </c>
      <c r="AC31" s="94">
        <v>323.75101438776051</v>
      </c>
      <c r="AD31" s="94">
        <v>355.5103028990747</v>
      </c>
      <c r="AE31" s="94">
        <v>343.96719920313069</v>
      </c>
      <c r="AF31" s="94">
        <v>354.01433935521464</v>
      </c>
      <c r="AG31" s="94">
        <v>319.09668509340281</v>
      </c>
      <c r="AH31" s="97"/>
      <c r="AI31" s="75">
        <v>3023.6141847005047</v>
      </c>
      <c r="AJ31" s="94">
        <v>1698.9894376030766</v>
      </c>
      <c r="AK31" s="94">
        <v>864.4235668195015</v>
      </c>
      <c r="AL31" s="132">
        <v>905.42156011897066</v>
      </c>
      <c r="AM31" s="132">
        <v>1159.2857247155528</v>
      </c>
      <c r="AN31" s="132">
        <v>1251.1895183698814</v>
      </c>
      <c r="AO31" s="132">
        <v>1377.1928558451807</v>
      </c>
      <c r="AP31" s="132">
        <v>1545.783568426717</v>
      </c>
      <c r="AQ31" s="132">
        <v>1012.4610590683076</v>
      </c>
    </row>
    <row r="32" spans="1:43" x14ac:dyDescent="0.25">
      <c r="A32" s="77" t="s">
        <v>96</v>
      </c>
      <c r="C32" s="78">
        <f t="shared" ref="C32" si="79">+SUM(C29:C31)</f>
        <v>2727.7308260995737</v>
      </c>
      <c r="D32" s="78">
        <f t="shared" ref="D32" si="80">+SUM(D29:D31)</f>
        <v>2710.5665253918596</v>
      </c>
      <c r="E32" s="78">
        <f t="shared" ref="E32:F32" si="81">+SUM(E29:E31)</f>
        <v>2567.4818661796367</v>
      </c>
      <c r="F32" s="78">
        <f t="shared" si="81"/>
        <v>2896.1608669607231</v>
      </c>
      <c r="G32" s="78">
        <f t="shared" ref="G32:H32" si="82">+SUM(G29:G31)</f>
        <v>2913.9088529485471</v>
      </c>
      <c r="H32" s="78">
        <f t="shared" si="82"/>
        <v>2713.4199001432003</v>
      </c>
      <c r="I32" s="78">
        <f t="shared" ref="I32:L32" si="83">+SUM(I29:I31)</f>
        <v>2634.7902658814205</v>
      </c>
      <c r="J32" s="78">
        <f t="shared" si="83"/>
        <v>2462.8150315988555</v>
      </c>
      <c r="K32" s="78">
        <f t="shared" si="83"/>
        <v>2258.5721270009558</v>
      </c>
      <c r="L32" s="78">
        <f t="shared" si="83"/>
        <v>2035.0282191090448</v>
      </c>
      <c r="M32" s="78">
        <f t="shared" ref="M32:T32" si="84">+SUM(M29:M31)</f>
        <v>1845.1322069688374</v>
      </c>
      <c r="N32" s="78">
        <f t="shared" si="84"/>
        <v>1852.5246069000377</v>
      </c>
      <c r="O32" s="78">
        <f t="shared" si="84"/>
        <v>1859.6615817764252</v>
      </c>
      <c r="P32" s="78">
        <f t="shared" si="84"/>
        <v>1650.6335339993725</v>
      </c>
      <c r="Q32" s="126">
        <f t="shared" si="84"/>
        <v>1804.0701715938283</v>
      </c>
      <c r="R32" s="126">
        <f t="shared" si="84"/>
        <v>1937.3243488905348</v>
      </c>
      <c r="S32" s="126">
        <f t="shared" si="84"/>
        <v>1974.3722262548799</v>
      </c>
      <c r="T32" s="126">
        <f t="shared" si="84"/>
        <v>2111.6822082821172</v>
      </c>
      <c r="U32" s="78">
        <f t="shared" ref="U32:Z32" si="85">+SUM(U29:U31)</f>
        <v>2140.0966369136445</v>
      </c>
      <c r="V32" s="78">
        <f t="shared" si="85"/>
        <v>2203.7989423343388</v>
      </c>
      <c r="W32" s="78">
        <f t="shared" si="85"/>
        <v>2188.50951904248</v>
      </c>
      <c r="X32" s="78">
        <f t="shared" si="85"/>
        <v>2132.3557275307453</v>
      </c>
      <c r="Y32" s="78">
        <f t="shared" si="85"/>
        <v>2097.7738456885818</v>
      </c>
      <c r="Z32" s="78">
        <f t="shared" si="85"/>
        <v>2133.9755188775125</v>
      </c>
      <c r="AA32" s="78">
        <f t="shared" ref="AA32:AG32" si="86">+SUM(AA29:AA31)</f>
        <v>2094.1465000425651</v>
      </c>
      <c r="AB32" s="78">
        <f t="shared" si="86"/>
        <v>2100.1007449711656</v>
      </c>
      <c r="AC32" s="95">
        <f>+SUM(AC29:AC31)</f>
        <v>2056.3974481598525</v>
      </c>
      <c r="AD32" s="95">
        <f t="shared" si="86"/>
        <v>2189.9174455591342</v>
      </c>
      <c r="AE32" s="95">
        <f t="shared" si="86"/>
        <v>2148.2530289240813</v>
      </c>
      <c r="AF32" s="95">
        <f t="shared" si="86"/>
        <v>2177.3889155785205</v>
      </c>
      <c r="AG32" s="95">
        <f t="shared" si="86"/>
        <v>2163.6194452819254</v>
      </c>
      <c r="AH32" s="89"/>
      <c r="AI32" s="78">
        <f>+SUM(AI29:AI31)</f>
        <v>11090.971486232109</v>
      </c>
      <c r="AJ32" s="95">
        <f t="shared" ref="AJ32:AN32" si="87">+SUM(AJ29:AJ31)</f>
        <v>9391.2056435902759</v>
      </c>
      <c r="AK32" s="95">
        <f t="shared" si="87"/>
        <v>7207.9519296446733</v>
      </c>
      <c r="AL32" s="133">
        <f t="shared" si="87"/>
        <v>7827.4489550213593</v>
      </c>
      <c r="AM32" s="133">
        <f t="shared" si="87"/>
        <v>8664.7608258212076</v>
      </c>
      <c r="AN32" s="133">
        <f t="shared" si="87"/>
        <v>8425.9966095798245</v>
      </c>
      <c r="AO32" s="133">
        <f>+SUM(AO29:AO31)+0.05</f>
        <v>8571.9568382215875</v>
      </c>
      <c r="AP32" s="133">
        <f>+SUM(AP29:AP31)</f>
        <v>9009.9221008930745</v>
      </c>
      <c r="AQ32" s="133">
        <f>+SUM(AQ29:AQ31)</f>
        <v>7209.5167833634241</v>
      </c>
    </row>
    <row r="33" spans="1:43" x14ac:dyDescent="0.25">
      <c r="A33" s="83" t="s">
        <v>97</v>
      </c>
      <c r="C33" s="75">
        <v>85.658102210543461</v>
      </c>
      <c r="D33" s="75">
        <v>74.73178193640814</v>
      </c>
      <c r="E33" s="75">
        <v>68.238430668647055</v>
      </c>
      <c r="F33" s="75">
        <v>102.83834826424339</v>
      </c>
      <c r="G33" s="75">
        <v>107.93289503263844</v>
      </c>
      <c r="H33" s="75">
        <v>83.43835891568304</v>
      </c>
      <c r="I33" s="75">
        <v>132.70610664561389</v>
      </c>
      <c r="J33" s="75">
        <v>72.197345252037167</v>
      </c>
      <c r="K33" s="75">
        <v>64.083746525817801</v>
      </c>
      <c r="L33" s="75">
        <v>40.067193475184496</v>
      </c>
      <c r="M33" s="75">
        <v>3.8483337531131294</v>
      </c>
      <c r="N33" s="75">
        <v>3.0125228979560892</v>
      </c>
      <c r="O33" s="75">
        <v>2.5126874140091968</v>
      </c>
      <c r="P33" s="75">
        <v>4.4261505683804092</v>
      </c>
      <c r="Q33" s="125">
        <v>5.294669456002743</v>
      </c>
      <c r="R33" s="125">
        <v>7.7053365674362118</v>
      </c>
      <c r="S33" s="125">
        <v>20.90182140535979</v>
      </c>
      <c r="T33" s="125">
        <v>13.810632118511098</v>
      </c>
      <c r="U33" s="75">
        <v>9.6215987325351922</v>
      </c>
      <c r="V33" s="75">
        <v>7.248285789261006</v>
      </c>
      <c r="W33" s="75">
        <v>13.585733644036772</v>
      </c>
      <c r="X33" s="75">
        <v>5.3041797911645556</v>
      </c>
      <c r="Y33" s="75">
        <v>10.910049547138916</v>
      </c>
      <c r="Z33" s="75">
        <v>9.514641322118278</v>
      </c>
      <c r="AA33" s="75">
        <v>6.4079406008766915</v>
      </c>
      <c r="AB33" s="75">
        <v>7.1137491080781405</v>
      </c>
      <c r="AC33" s="94">
        <v>7.8985436331895249</v>
      </c>
      <c r="AD33" s="94">
        <v>8.060568690206976</v>
      </c>
      <c r="AE33" s="94">
        <v>8.9495593977358805</v>
      </c>
      <c r="AF33" s="94">
        <v>4.2681042281005821</v>
      </c>
      <c r="AG33" s="94">
        <v>7.7437897863150367</v>
      </c>
      <c r="AH33" s="97"/>
      <c r="AI33" s="75">
        <v>362.44803288121193</v>
      </c>
      <c r="AJ33" s="94">
        <v>309.05439189865336</v>
      </c>
      <c r="AK33" s="94">
        <v>13.799694633458824</v>
      </c>
      <c r="AL33" s="132">
        <v>47.712459547309848</v>
      </c>
      <c r="AM33" s="132">
        <v>35.759797956997524</v>
      </c>
      <c r="AN33" s="132">
        <v>33.946380578212029</v>
      </c>
      <c r="AO33" s="132">
        <v>29.176775949232962</v>
      </c>
      <c r="AP33" s="132">
        <v>49.027288505585297</v>
      </c>
      <c r="AQ33" s="132">
        <v>56.152069310095136</v>
      </c>
    </row>
    <row r="34" spans="1:43" x14ac:dyDescent="0.25">
      <c r="A34" s="77" t="s">
        <v>92</v>
      </c>
      <c r="C34" s="78">
        <f t="shared" ref="C34" si="88">+SUM(C32:C33)</f>
        <v>2813.3889283101171</v>
      </c>
      <c r="D34" s="78">
        <f t="shared" ref="D34" si="89">+SUM(D32:D33)</f>
        <v>2785.2983073282676</v>
      </c>
      <c r="E34" s="78">
        <f t="shared" ref="E34:F34" si="90">+SUM(E32:E33)</f>
        <v>2635.7202968482839</v>
      </c>
      <c r="F34" s="78">
        <f t="shared" si="90"/>
        <v>2998.9992152249665</v>
      </c>
      <c r="G34" s="78">
        <f t="shared" ref="G34:H34" si="91">+SUM(G32:G33)</f>
        <v>3021.8417479811856</v>
      </c>
      <c r="H34" s="78">
        <f t="shared" si="91"/>
        <v>2796.8582590588835</v>
      </c>
      <c r="I34" s="78">
        <f t="shared" ref="I34:L34" si="92">+SUM(I32:I33)</f>
        <v>2767.4963725270345</v>
      </c>
      <c r="J34" s="78">
        <f t="shared" si="92"/>
        <v>2535.0123768508929</v>
      </c>
      <c r="K34" s="78">
        <f t="shared" si="92"/>
        <v>2322.6558735267736</v>
      </c>
      <c r="L34" s="78">
        <f t="shared" si="92"/>
        <v>2075.0954125842295</v>
      </c>
      <c r="M34" s="78">
        <f t="shared" ref="M34:T34" si="93">+SUM(M32:M33)</f>
        <v>1848.9805407219505</v>
      </c>
      <c r="N34" s="78">
        <f t="shared" si="93"/>
        <v>1855.5371297979939</v>
      </c>
      <c r="O34" s="78">
        <f t="shared" si="93"/>
        <v>1862.1742691904344</v>
      </c>
      <c r="P34" s="78">
        <f t="shared" si="93"/>
        <v>1655.0596845677528</v>
      </c>
      <c r="Q34" s="126">
        <f t="shared" si="93"/>
        <v>1809.3648410498311</v>
      </c>
      <c r="R34" s="126">
        <f t="shared" si="93"/>
        <v>1945.029685457971</v>
      </c>
      <c r="S34" s="126">
        <f t="shared" si="93"/>
        <v>1995.2740476602398</v>
      </c>
      <c r="T34" s="126">
        <f t="shared" si="93"/>
        <v>2125.4928404006282</v>
      </c>
      <c r="U34" s="78">
        <f t="shared" ref="U34:Z34" si="94">+SUM(U32:U33)</f>
        <v>2149.7182356461799</v>
      </c>
      <c r="V34" s="78">
        <f t="shared" si="94"/>
        <v>2211.0472281235998</v>
      </c>
      <c r="W34" s="78">
        <f t="shared" si="94"/>
        <v>2202.0952526865167</v>
      </c>
      <c r="X34" s="78">
        <f t="shared" si="94"/>
        <v>2137.6599073219099</v>
      </c>
      <c r="Y34" s="78">
        <f t="shared" si="94"/>
        <v>2108.6838952357207</v>
      </c>
      <c r="Z34" s="78">
        <f t="shared" si="94"/>
        <v>2143.4901601996307</v>
      </c>
      <c r="AA34" s="78">
        <f t="shared" ref="AA34:AG34" si="95">+SUM(AA32:AA33)</f>
        <v>2100.5544406434419</v>
      </c>
      <c r="AB34" s="78">
        <f t="shared" si="95"/>
        <v>2107.2144940792437</v>
      </c>
      <c r="AC34" s="95">
        <f t="shared" si="95"/>
        <v>2064.295991793042</v>
      </c>
      <c r="AD34" s="95">
        <f t="shared" si="95"/>
        <v>2197.978014249341</v>
      </c>
      <c r="AE34" s="95">
        <f t="shared" si="95"/>
        <v>2157.2025883218171</v>
      </c>
      <c r="AF34" s="95">
        <f t="shared" si="95"/>
        <v>2181.6570198066211</v>
      </c>
      <c r="AG34" s="95">
        <f t="shared" si="95"/>
        <v>2171.3632350682406</v>
      </c>
      <c r="AH34" s="89"/>
      <c r="AI34" s="95">
        <f t="shared" ref="AI34:AK34" si="96">+SUM(AI32:AI33)</f>
        <v>11453.41951911332</v>
      </c>
      <c r="AJ34" s="95">
        <f t="shared" si="96"/>
        <v>9700.2600354889291</v>
      </c>
      <c r="AK34" s="95">
        <f t="shared" si="96"/>
        <v>7221.7516242781321</v>
      </c>
      <c r="AL34" s="133">
        <f t="shared" ref="AL34:AQ34" si="97">+SUM(AL32:AL33)</f>
        <v>7875.161414568669</v>
      </c>
      <c r="AM34" s="133">
        <f t="shared" si="97"/>
        <v>8700.5206237782058</v>
      </c>
      <c r="AN34" s="133">
        <f t="shared" si="97"/>
        <v>8459.942990158037</v>
      </c>
      <c r="AO34" s="133">
        <f t="shared" si="97"/>
        <v>8601.1336141708198</v>
      </c>
      <c r="AP34" s="133">
        <f t="shared" si="97"/>
        <v>9058.9493893986601</v>
      </c>
      <c r="AQ34" s="133">
        <f t="shared" si="97"/>
        <v>7265.6688526735188</v>
      </c>
    </row>
    <row r="35" spans="1:43" x14ac:dyDescent="0.25">
      <c r="A35" s="77"/>
      <c r="C35" s="75"/>
      <c r="D35" s="75"/>
      <c r="E35" s="75"/>
      <c r="F35" s="75"/>
      <c r="G35" s="75"/>
      <c r="H35" s="75"/>
      <c r="I35" s="75"/>
      <c r="J35" s="75"/>
      <c r="K35" s="75"/>
      <c r="L35" s="75"/>
      <c r="M35" s="75"/>
      <c r="N35" s="75"/>
      <c r="O35" s="75"/>
      <c r="P35" s="75"/>
      <c r="Q35" s="125"/>
      <c r="R35" s="125"/>
      <c r="S35" s="125"/>
      <c r="T35" s="125"/>
      <c r="U35" s="75"/>
      <c r="V35" s="75"/>
      <c r="W35" s="75"/>
      <c r="X35" s="75"/>
      <c r="Y35" s="75"/>
      <c r="Z35" s="75"/>
      <c r="AA35" s="75"/>
      <c r="AB35" s="75"/>
      <c r="AC35" s="94"/>
      <c r="AD35" s="94"/>
      <c r="AE35" s="94"/>
      <c r="AF35" s="94"/>
      <c r="AG35" s="75"/>
      <c r="AH35" s="77"/>
      <c r="AI35" s="75"/>
      <c r="AJ35" s="94"/>
      <c r="AK35" s="94"/>
      <c r="AL35" s="132"/>
      <c r="AM35" s="132"/>
      <c r="AN35" s="132"/>
      <c r="AO35" s="132"/>
      <c r="AP35" s="132"/>
      <c r="AQ35" s="132"/>
    </row>
    <row r="36" spans="1:43" x14ac:dyDescent="0.25">
      <c r="A36" s="77" t="s">
        <v>93</v>
      </c>
      <c r="C36" s="75">
        <v>76.800060209999998</v>
      </c>
      <c r="D36" s="75">
        <v>75.782883719999987</v>
      </c>
      <c r="E36" s="75">
        <v>71.885606209999992</v>
      </c>
      <c r="F36" s="75">
        <v>66.645122439999994</v>
      </c>
      <c r="G36" s="75">
        <v>73.731558509999999</v>
      </c>
      <c r="H36" s="75">
        <v>69.737474639999988</v>
      </c>
      <c r="I36" s="75">
        <v>69.043521359999986</v>
      </c>
      <c r="J36" s="75">
        <v>84.267559459999987</v>
      </c>
      <c r="K36" s="75">
        <v>55.554618630000007</v>
      </c>
      <c r="L36" s="75">
        <v>62.610821509999994</v>
      </c>
      <c r="M36" s="75">
        <v>54.59271022999998</v>
      </c>
      <c r="N36" s="75">
        <v>58.051169616206906</v>
      </c>
      <c r="O36" s="75">
        <v>48.408599138</v>
      </c>
      <c r="P36" s="75">
        <v>43.841138599999994</v>
      </c>
      <c r="Q36" s="125">
        <v>45.410596110000007</v>
      </c>
      <c r="R36" s="125">
        <v>51.056909659999995</v>
      </c>
      <c r="S36" s="125">
        <v>49.652238519999997</v>
      </c>
      <c r="T36" s="125">
        <v>56.985381740000008</v>
      </c>
      <c r="U36" s="75">
        <v>71.382426590000009</v>
      </c>
      <c r="V36" s="75">
        <v>82.208255630000011</v>
      </c>
      <c r="W36" s="75">
        <v>83.336969689999989</v>
      </c>
      <c r="X36" s="75">
        <v>76.229546560000003</v>
      </c>
      <c r="Y36" s="75">
        <v>110.12207086000001</v>
      </c>
      <c r="Z36" s="75">
        <v>74.742405500000004</v>
      </c>
      <c r="AA36" s="75">
        <v>101.84529168049409</v>
      </c>
      <c r="AB36" s="75">
        <v>99.75624924748746</v>
      </c>
      <c r="AC36" s="94">
        <v>47.059143611463412</v>
      </c>
      <c r="AD36" s="94">
        <v>53.790945799999996</v>
      </c>
      <c r="AE36" s="94">
        <v>44.353394909999999</v>
      </c>
      <c r="AF36" s="94">
        <v>45.494910450000006</v>
      </c>
      <c r="AG36" s="75">
        <v>49.934688916966415</v>
      </c>
      <c r="AH36" s="77"/>
      <c r="AI36" s="75">
        <v>281.99976179999999</v>
      </c>
      <c r="AJ36" s="94">
        <v>271.47652095999996</v>
      </c>
      <c r="AK36" s="94">
        <v>204.89361758420688</v>
      </c>
      <c r="AL36" s="132">
        <v>203.10512603000001</v>
      </c>
      <c r="AM36" s="132">
        <v>313.15719847000003</v>
      </c>
      <c r="AN36" s="132">
        <v>386.46601728798157</v>
      </c>
      <c r="AO36" s="132">
        <v>190.69839477146343</v>
      </c>
      <c r="AP36" s="132">
        <v>213.23079497307066</v>
      </c>
      <c r="AQ36" s="132">
        <v>201.92135812402441</v>
      </c>
    </row>
    <row r="37" spans="1:43" x14ac:dyDescent="0.25">
      <c r="A37" s="77"/>
      <c r="C37" s="75"/>
      <c r="D37" s="75"/>
      <c r="E37" s="75"/>
      <c r="F37" s="75"/>
      <c r="G37" s="75"/>
      <c r="H37" s="75"/>
      <c r="I37" s="75"/>
      <c r="J37" s="75"/>
      <c r="K37" s="75"/>
      <c r="L37" s="75"/>
      <c r="M37" s="75"/>
      <c r="N37" s="75"/>
      <c r="O37" s="75"/>
      <c r="P37" s="75"/>
      <c r="Q37" s="125"/>
      <c r="R37" s="125"/>
      <c r="S37" s="125"/>
      <c r="T37" s="125"/>
      <c r="U37" s="75"/>
      <c r="V37" s="75"/>
      <c r="W37" s="75"/>
      <c r="X37" s="75"/>
      <c r="Y37" s="75"/>
      <c r="Z37" s="75"/>
      <c r="AA37" s="75"/>
      <c r="AB37" s="75"/>
      <c r="AC37" s="94"/>
      <c r="AD37" s="94"/>
      <c r="AE37" s="94"/>
      <c r="AF37" s="94"/>
      <c r="AG37" s="75"/>
      <c r="AH37" s="77"/>
      <c r="AI37" s="75"/>
      <c r="AJ37" s="94"/>
      <c r="AK37" s="94"/>
      <c r="AL37" s="132"/>
      <c r="AM37" s="132"/>
      <c r="AN37" s="132"/>
      <c r="AO37" s="132"/>
      <c r="AP37" s="132"/>
      <c r="AQ37" s="132"/>
    </row>
    <row r="38" spans="1:43" x14ac:dyDescent="0.25">
      <c r="A38" s="77" t="s">
        <v>83</v>
      </c>
      <c r="C38" s="75">
        <v>-76.800060210000012</v>
      </c>
      <c r="D38" s="75">
        <v>-75.77112043999999</v>
      </c>
      <c r="E38" s="75">
        <v>-71.476014460000002</v>
      </c>
      <c r="F38" s="75">
        <v>-66.413502189999988</v>
      </c>
      <c r="G38" s="75">
        <v>-73.138698129999995</v>
      </c>
      <c r="H38" s="75">
        <v>-69.583886429999993</v>
      </c>
      <c r="I38" s="75">
        <v>-69.032088309999992</v>
      </c>
      <c r="J38" s="75">
        <v>-84.255907579999999</v>
      </c>
      <c r="K38" s="75">
        <v>-55.554618629999993</v>
      </c>
      <c r="L38" s="75">
        <v>-62.598171409999999</v>
      </c>
      <c r="M38" s="75">
        <v>-53.991896379999993</v>
      </c>
      <c r="N38" s="75">
        <v>-57.538213769999999</v>
      </c>
      <c r="O38" s="75">
        <v>-47.741382268000002</v>
      </c>
      <c r="P38" s="75">
        <v>-43.398964419999999</v>
      </c>
      <c r="Q38" s="125">
        <v>-44.827274639999999</v>
      </c>
      <c r="R38" s="125">
        <v>-50.732087609999994</v>
      </c>
      <c r="S38" s="125">
        <v>-48.854529789999994</v>
      </c>
      <c r="T38" s="125">
        <v>-56.403582320000005</v>
      </c>
      <c r="U38" s="75">
        <v>-66.524499250000019</v>
      </c>
      <c r="V38" s="75">
        <v>-74.909658579999999</v>
      </c>
      <c r="W38" s="75">
        <v>-81.689969689999998</v>
      </c>
      <c r="X38" s="75">
        <v>-64.496799780000003</v>
      </c>
      <c r="Y38" s="75">
        <v>-102.78730093999999</v>
      </c>
      <c r="Z38" s="75">
        <v>-74.408858559999999</v>
      </c>
      <c r="AA38" s="75">
        <v>-67.960055010494074</v>
      </c>
      <c r="AB38" s="75">
        <v>-71.240376167487454</v>
      </c>
      <c r="AC38" s="94">
        <v>-40.372717281463409</v>
      </c>
      <c r="AD38" s="94">
        <v>-53.790945799999996</v>
      </c>
      <c r="AE38" s="94">
        <v>-44.353394909999999</v>
      </c>
      <c r="AF38" s="94">
        <v>-45.260751810000002</v>
      </c>
      <c r="AG38" s="94">
        <v>-20.735762804184251</v>
      </c>
      <c r="AH38" s="77"/>
      <c r="AI38" s="75">
        <v>-280.61210120999993</v>
      </c>
      <c r="AJ38" s="94">
        <v>-271.44078593</v>
      </c>
      <c r="AK38" s="94">
        <v>-202.67045683799998</v>
      </c>
      <c r="AL38" s="132">
        <v>-200.81747436000001</v>
      </c>
      <c r="AM38" s="132">
        <v>-287.62092730000001</v>
      </c>
      <c r="AN38" s="132">
        <v>-316.39659067798152</v>
      </c>
      <c r="AO38" s="132">
        <v>-183.77780980146343</v>
      </c>
      <c r="AP38" s="132">
        <v>-149.34780383028848</v>
      </c>
      <c r="AQ38" s="132">
        <v>-127.68903153227863</v>
      </c>
    </row>
    <row r="39" spans="1:43" x14ac:dyDescent="0.25">
      <c r="A39" s="77"/>
      <c r="C39" s="78"/>
      <c r="D39" s="78"/>
      <c r="E39" s="78"/>
      <c r="F39" s="78"/>
      <c r="G39" s="78"/>
      <c r="H39" s="78"/>
      <c r="I39" s="78"/>
      <c r="J39" s="78"/>
      <c r="K39" s="78"/>
      <c r="L39" s="78"/>
      <c r="M39" s="78"/>
      <c r="N39" s="78"/>
      <c r="O39" s="78"/>
      <c r="P39" s="78"/>
      <c r="Q39" s="126"/>
      <c r="R39" s="126"/>
      <c r="S39" s="126"/>
      <c r="T39" s="126"/>
      <c r="U39" s="78"/>
      <c r="V39" s="78"/>
      <c r="W39" s="78"/>
      <c r="X39" s="78"/>
      <c r="Y39" s="78"/>
      <c r="Z39" s="78"/>
      <c r="AA39" s="78"/>
      <c r="AB39" s="78"/>
      <c r="AC39" s="78"/>
      <c r="AD39" s="78"/>
      <c r="AE39" s="78"/>
      <c r="AF39" s="78"/>
      <c r="AG39" s="78"/>
      <c r="AH39" s="77"/>
      <c r="AI39" s="78"/>
      <c r="AJ39" s="78"/>
      <c r="AK39" s="78"/>
      <c r="AL39" s="126"/>
      <c r="AM39" s="126"/>
      <c r="AN39" s="126"/>
      <c r="AO39" s="126"/>
      <c r="AP39" s="126"/>
      <c r="AQ39" s="126"/>
    </row>
    <row r="40" spans="1:43" x14ac:dyDescent="0.25">
      <c r="A40" s="84" t="s">
        <v>98</v>
      </c>
      <c r="B40" s="53"/>
      <c r="C40" s="85">
        <f t="shared" ref="C40" si="98">+SUM(C34:C38)</f>
        <v>2813.3889283101171</v>
      </c>
      <c r="D40" s="85">
        <f t="shared" ref="D40" si="99">+SUM(D34:D38)</f>
        <v>2785.3100706082678</v>
      </c>
      <c r="E40" s="85">
        <f t="shared" ref="E40" si="100">+SUM(E34:E38)</f>
        <v>2636.1298885982837</v>
      </c>
      <c r="F40" s="85">
        <f t="shared" ref="F40:G40" si="101">+SUM(F34:F38)</f>
        <v>2999.2308354749662</v>
      </c>
      <c r="G40" s="85">
        <f t="shared" si="101"/>
        <v>3022.4346083611854</v>
      </c>
      <c r="H40" s="85">
        <f t="shared" ref="H40" si="102">+SUM(H34:H38)</f>
        <v>2797.0118472688837</v>
      </c>
      <c r="I40" s="85">
        <f t="shared" ref="I40:L40" si="103">+SUM(I34:I38)</f>
        <v>2767.5078055770346</v>
      </c>
      <c r="J40" s="85">
        <f t="shared" si="103"/>
        <v>2535.024028730893</v>
      </c>
      <c r="K40" s="85">
        <f t="shared" si="103"/>
        <v>2322.6558735267736</v>
      </c>
      <c r="L40" s="85">
        <f t="shared" si="103"/>
        <v>2075.1080626842295</v>
      </c>
      <c r="M40" s="85">
        <f t="shared" ref="M40:T40" si="104">+SUM(M34:M38)</f>
        <v>1849.5813545719504</v>
      </c>
      <c r="N40" s="85">
        <f t="shared" si="104"/>
        <v>1856.0500856442006</v>
      </c>
      <c r="O40" s="85">
        <f t="shared" si="104"/>
        <v>1862.8414860604344</v>
      </c>
      <c r="P40" s="85">
        <f t="shared" si="104"/>
        <v>1655.5018587477527</v>
      </c>
      <c r="Q40" s="129">
        <f t="shared" si="104"/>
        <v>1809.9481625198309</v>
      </c>
      <c r="R40" s="129">
        <f t="shared" si="104"/>
        <v>1945.354507507971</v>
      </c>
      <c r="S40" s="129">
        <f t="shared" si="104"/>
        <v>1996.0717563902399</v>
      </c>
      <c r="T40" s="129">
        <f t="shared" si="104"/>
        <v>2126.0746398206279</v>
      </c>
      <c r="U40" s="85">
        <f t="shared" ref="U40:Z40" si="105">+SUM(U34:U38)</f>
        <v>2154.5761629861795</v>
      </c>
      <c r="V40" s="85">
        <f t="shared" si="105"/>
        <v>2218.3458251736001</v>
      </c>
      <c r="W40" s="85">
        <f t="shared" si="105"/>
        <v>2203.7422526865166</v>
      </c>
      <c r="X40" s="85">
        <f t="shared" si="105"/>
        <v>2149.39265410191</v>
      </c>
      <c r="Y40" s="85">
        <f t="shared" si="105"/>
        <v>2116.0186651557206</v>
      </c>
      <c r="Z40" s="85">
        <f t="shared" si="105"/>
        <v>2143.8237071396306</v>
      </c>
      <c r="AA40" s="85">
        <f t="shared" ref="AA40:AG40" si="106">+SUM(AA34:AA38)</f>
        <v>2134.4396773134417</v>
      </c>
      <c r="AB40" s="85">
        <f t="shared" si="106"/>
        <v>2135.730367159244</v>
      </c>
      <c r="AC40" s="85">
        <f>+SUM(AC34:AC38)</f>
        <v>2070.982418123042</v>
      </c>
      <c r="AD40" s="85">
        <f t="shared" si="106"/>
        <v>2197.978014249341</v>
      </c>
      <c r="AE40" s="85">
        <f t="shared" si="106"/>
        <v>2157.2025883218171</v>
      </c>
      <c r="AF40" s="85">
        <f t="shared" si="106"/>
        <v>2181.8911784466213</v>
      </c>
      <c r="AG40" s="85">
        <f t="shared" si="106"/>
        <v>2200.5621611810229</v>
      </c>
      <c r="AH40" s="86"/>
      <c r="AI40" s="85">
        <f t="shared" ref="AI40:AK40" si="107">+SUM(AI34:AI38)</f>
        <v>11454.807179703321</v>
      </c>
      <c r="AJ40" s="85">
        <f t="shared" si="107"/>
        <v>9700.2957705189274</v>
      </c>
      <c r="AK40" s="85">
        <f t="shared" si="107"/>
        <v>7223.9747850243393</v>
      </c>
      <c r="AL40" s="129">
        <f t="shared" ref="AL40:AQ40" si="108">+SUM(AL34:AL38)</f>
        <v>7877.4490662386688</v>
      </c>
      <c r="AM40" s="129">
        <f t="shared" si="108"/>
        <v>8726.0568949482058</v>
      </c>
      <c r="AN40" s="129">
        <f t="shared" si="108"/>
        <v>8530.0124167680369</v>
      </c>
      <c r="AO40" s="129">
        <f t="shared" si="108"/>
        <v>8608.054199140819</v>
      </c>
      <c r="AP40" s="129">
        <f t="shared" si="108"/>
        <v>9122.832380541442</v>
      </c>
      <c r="AQ40" s="129">
        <f t="shared" si="108"/>
        <v>7339.9011792652645</v>
      </c>
    </row>
    <row r="41" spans="1:43" ht="16.5" x14ac:dyDescent="0.25">
      <c r="A41" s="87" t="s">
        <v>137</v>
      </c>
      <c r="C41" s="88"/>
      <c r="D41" s="88"/>
      <c r="E41" s="88"/>
      <c r="F41" s="88"/>
      <c r="G41" s="88"/>
      <c r="H41" s="88"/>
      <c r="I41" s="88"/>
      <c r="J41" s="88"/>
      <c r="K41" s="88"/>
      <c r="L41" s="88"/>
      <c r="M41" s="88"/>
      <c r="N41" s="88"/>
      <c r="O41" s="88"/>
      <c r="P41" s="88"/>
      <c r="Q41" s="130"/>
      <c r="R41" s="130"/>
      <c r="S41" s="130"/>
      <c r="T41" s="130"/>
      <c r="U41" s="88"/>
      <c r="V41" s="88"/>
      <c r="W41" s="88"/>
      <c r="X41" s="88"/>
      <c r="Y41" s="88"/>
      <c r="Z41" s="88"/>
      <c r="AA41" s="88"/>
      <c r="AB41" s="88"/>
      <c r="AC41" s="88"/>
      <c r="AD41" s="88"/>
      <c r="AE41" s="88"/>
      <c r="AF41" s="88"/>
      <c r="AH41" s="89"/>
    </row>
    <row r="43" spans="1:43" x14ac:dyDescent="0.25">
      <c r="A43" s="169" t="s">
        <v>189</v>
      </c>
    </row>
    <row r="44" spans="1:43" x14ac:dyDescent="0.25">
      <c r="A44" s="169" t="s">
        <v>190</v>
      </c>
    </row>
  </sheetData>
  <pageMargins left="0.7" right="0.7" top="0.75" bottom="0.75" header="0.3" footer="0.3"/>
  <pageSetup scale="37" orientation="portrait" r:id="rId1"/>
  <colBreaks count="1" manualBreakCount="1">
    <brk id="36" max="1048575" man="1"/>
  </colBreaks>
  <ignoredErrors>
    <ignoredError sqref="AO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Consolidated Income Statement</vt:lpstr>
      <vt:lpstr>Consolidated Balance Sheet AxI</vt:lpstr>
      <vt:lpstr>Cash Flow Statement AxI</vt:lpstr>
      <vt:lpstr>Segment  EBITDA</vt:lpstr>
      <vt:lpstr>Segment  Sales</vt:lpstr>
      <vt:lpstr>'Cash Flow Statement AxI'!Área_de_impresión</vt:lpstr>
      <vt:lpstr>'Consolidated Balance Sheet AxI'!Área_de_impresión</vt:lpstr>
      <vt:lpstr>'Consolidated Income Statement'!Área_de_impresión</vt:lpstr>
      <vt:lpstr>'Segment  EBITDA'!Área_de_impresión</vt:lpstr>
      <vt:lpstr>'Consolidated Income Statement'!OLE_LINK7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Luciano Arrighi</dc:creator>
  <cp:lastModifiedBy>ORTIZ SOLER Carolina     TERNIUM [AR]</cp:lastModifiedBy>
  <cp:lastPrinted>2019-07-31T08:01:17Z</cp:lastPrinted>
  <dcterms:created xsi:type="dcterms:W3CDTF">2013-11-13T15:29:30Z</dcterms:created>
  <dcterms:modified xsi:type="dcterms:W3CDTF">2019-09-11T18:31:25Z</dcterms:modified>
</cp:coreProperties>
</file>